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5132CB0D-DE53-40F8-934B-96E82A2EDB0D}" xr6:coauthVersionLast="46" xr6:coauthVersionMax="46" xr10:uidLastSave="{00000000-0000-0000-0000-000000000000}"/>
  <bookViews>
    <workbookView xWindow="-120" yWindow="-120" windowWidth="20730" windowHeight="11160" tabRatio="760" xr2:uid="{00000000-000D-0000-FFFF-FFFF00000000}"/>
  </bookViews>
  <sheets>
    <sheet name="ვაზისუბანი, კრებსითი" sheetId="6" r:id="rId1"/>
    <sheet name="სამშენებლო" sheetId="4" r:id="rId2"/>
    <sheet name="კომპ. დაქსელვა" sheetId="5" r:id="rId3"/>
    <sheet name="სახანძრო" sheetId="7" r:id="rId4"/>
    <sheet name="სანტექნიკა" sheetId="8" r:id="rId5"/>
    <sheet name="ელექტროობა" sheetId="9" r:id="rId6"/>
    <sheet name="გათბობა. გაგრილ. ვენტილაცია" sheetId="10" r:id="rId7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8" l="1"/>
  <c r="H33" i="8"/>
  <c r="F33" i="8"/>
  <c r="J32" i="8"/>
  <c r="H32" i="8"/>
  <c r="F32" i="8"/>
  <c r="K33" i="8" l="1"/>
  <c r="K32" i="8"/>
  <c r="K103" i="4"/>
  <c r="J14" i="4"/>
  <c r="J15" i="4"/>
  <c r="J16" i="4"/>
  <c r="J17" i="4"/>
  <c r="J18" i="4"/>
  <c r="K18" i="4" s="1"/>
  <c r="J19" i="4"/>
  <c r="J20" i="4"/>
  <c r="J24" i="4"/>
  <c r="J25" i="4"/>
  <c r="J26" i="4"/>
  <c r="J32" i="4"/>
  <c r="J36" i="4"/>
  <c r="J37" i="4"/>
  <c r="J44" i="4"/>
  <c r="J47" i="4"/>
  <c r="J67" i="4"/>
  <c r="J68" i="4"/>
  <c r="J69" i="4"/>
  <c r="J74" i="4"/>
  <c r="J78" i="4"/>
  <c r="J81" i="4"/>
  <c r="K81" i="4" s="1"/>
  <c r="J85" i="4"/>
  <c r="J90" i="4"/>
  <c r="J91" i="4"/>
  <c r="J92" i="4"/>
  <c r="J93" i="4"/>
  <c r="J94" i="4"/>
  <c r="J101" i="4"/>
  <c r="J103" i="4"/>
  <c r="J107" i="4"/>
  <c r="J111" i="4"/>
  <c r="J112" i="4"/>
  <c r="J119" i="4"/>
  <c r="J120" i="4"/>
  <c r="J121" i="4"/>
  <c r="J125" i="4"/>
  <c r="J128" i="4"/>
  <c r="J129" i="4"/>
  <c r="J130" i="4"/>
  <c r="J139" i="4"/>
  <c r="J140" i="4"/>
  <c r="J141" i="4"/>
  <c r="J142" i="4"/>
  <c r="J143" i="4"/>
  <c r="J144" i="4"/>
  <c r="K144" i="4" s="1"/>
  <c r="J145" i="4"/>
  <c r="J146" i="4"/>
  <c r="J147" i="4"/>
  <c r="J148" i="4"/>
  <c r="K148" i="4" s="1"/>
  <c r="J153" i="4"/>
  <c r="J155" i="4"/>
  <c r="J159" i="4"/>
  <c r="J160" i="4"/>
  <c r="J161" i="4"/>
  <c r="H14" i="4"/>
  <c r="H15" i="4"/>
  <c r="K15" i="4" s="1"/>
  <c r="H16" i="4"/>
  <c r="H17" i="4"/>
  <c r="H18" i="4"/>
  <c r="H19" i="4"/>
  <c r="K19" i="4" s="1"/>
  <c r="H20" i="4"/>
  <c r="H24" i="4"/>
  <c r="H25" i="4"/>
  <c r="H26" i="4"/>
  <c r="H32" i="4"/>
  <c r="H36" i="4"/>
  <c r="H37" i="4"/>
  <c r="H44" i="4"/>
  <c r="H47" i="4"/>
  <c r="H67" i="4"/>
  <c r="K67" i="4" s="1"/>
  <c r="H68" i="4"/>
  <c r="H69" i="4"/>
  <c r="H74" i="4"/>
  <c r="H78" i="4"/>
  <c r="H81" i="4"/>
  <c r="H85" i="4"/>
  <c r="H90" i="4"/>
  <c r="H91" i="4"/>
  <c r="K91" i="4" s="1"/>
  <c r="H92" i="4"/>
  <c r="H93" i="4"/>
  <c r="H94" i="4"/>
  <c r="H101" i="4"/>
  <c r="H103" i="4"/>
  <c r="H107" i="4"/>
  <c r="H111" i="4"/>
  <c r="H112" i="4"/>
  <c r="H119" i="4"/>
  <c r="H120" i="4"/>
  <c r="H121" i="4"/>
  <c r="H125" i="4"/>
  <c r="H128" i="4"/>
  <c r="H129" i="4"/>
  <c r="H130" i="4"/>
  <c r="H139" i="4"/>
  <c r="K139" i="4" s="1"/>
  <c r="H140" i="4"/>
  <c r="H141" i="4"/>
  <c r="H142" i="4"/>
  <c r="H143" i="4"/>
  <c r="H144" i="4"/>
  <c r="H145" i="4"/>
  <c r="H146" i="4"/>
  <c r="H147" i="4"/>
  <c r="H148" i="4"/>
  <c r="H153" i="4"/>
  <c r="H155" i="4"/>
  <c r="H159" i="4"/>
  <c r="K159" i="4" s="1"/>
  <c r="H160" i="4"/>
  <c r="H161" i="4"/>
  <c r="F14" i="4"/>
  <c r="F15" i="4"/>
  <c r="F16" i="4"/>
  <c r="F17" i="4"/>
  <c r="F18" i="4"/>
  <c r="F19" i="4"/>
  <c r="F20" i="4"/>
  <c r="F24" i="4"/>
  <c r="F25" i="4"/>
  <c r="F26" i="4"/>
  <c r="F32" i="4"/>
  <c r="F36" i="4"/>
  <c r="F37" i="4"/>
  <c r="F44" i="4"/>
  <c r="F47" i="4"/>
  <c r="F67" i="4"/>
  <c r="F68" i="4"/>
  <c r="F69" i="4"/>
  <c r="F74" i="4"/>
  <c r="F78" i="4"/>
  <c r="F80" i="4"/>
  <c r="F81" i="4"/>
  <c r="F85" i="4"/>
  <c r="F90" i="4"/>
  <c r="F91" i="4"/>
  <c r="F92" i="4"/>
  <c r="F93" i="4"/>
  <c r="F94" i="4"/>
  <c r="F101" i="4"/>
  <c r="F103" i="4"/>
  <c r="F112" i="4"/>
  <c r="F119" i="4"/>
  <c r="K119" i="4" s="1"/>
  <c r="F120" i="4"/>
  <c r="F121" i="4"/>
  <c r="F125" i="4"/>
  <c r="F128" i="4"/>
  <c r="F129" i="4"/>
  <c r="F130" i="4"/>
  <c r="F139" i="4"/>
  <c r="F140" i="4"/>
  <c r="F141" i="4"/>
  <c r="F142" i="4"/>
  <c r="F143" i="4"/>
  <c r="F144" i="4"/>
  <c r="F145" i="4"/>
  <c r="F146" i="4"/>
  <c r="F147" i="4"/>
  <c r="F148" i="4"/>
  <c r="F153" i="4"/>
  <c r="F155" i="4"/>
  <c r="F159" i="4"/>
  <c r="F160" i="4"/>
  <c r="F161" i="4"/>
  <c r="F162" i="4"/>
  <c r="D162" i="4"/>
  <c r="J162" i="4" s="1"/>
  <c r="J8" i="8"/>
  <c r="J9" i="8"/>
  <c r="J10" i="8"/>
  <c r="J11" i="8"/>
  <c r="J12" i="8"/>
  <c r="J13" i="8"/>
  <c r="J14" i="8"/>
  <c r="J15" i="8"/>
  <c r="J16" i="8"/>
  <c r="K16" i="8" s="1"/>
  <c r="J17" i="8"/>
  <c r="K17" i="8" s="1"/>
  <c r="J18" i="8"/>
  <c r="J19" i="8"/>
  <c r="J20" i="8"/>
  <c r="J21" i="8"/>
  <c r="J22" i="8"/>
  <c r="J23" i="8"/>
  <c r="J24" i="8"/>
  <c r="J25" i="8"/>
  <c r="J26" i="8"/>
  <c r="J27" i="8"/>
  <c r="J28" i="8"/>
  <c r="J29" i="8"/>
  <c r="K29" i="8" s="1"/>
  <c r="J30" i="8"/>
  <c r="J31" i="8"/>
  <c r="J34" i="8"/>
  <c r="H8" i="8"/>
  <c r="H9" i="8"/>
  <c r="H10" i="8"/>
  <c r="H11" i="8"/>
  <c r="K11" i="8" s="1"/>
  <c r="H12" i="8"/>
  <c r="H13" i="8"/>
  <c r="H14" i="8"/>
  <c r="H15" i="8"/>
  <c r="K15" i="8" s="1"/>
  <c r="H16" i="8"/>
  <c r="H17" i="8"/>
  <c r="H18" i="8"/>
  <c r="H19" i="8"/>
  <c r="K19" i="8" s="1"/>
  <c r="H20" i="8"/>
  <c r="H21" i="8"/>
  <c r="H22" i="8"/>
  <c r="H23" i="8"/>
  <c r="K23" i="8" s="1"/>
  <c r="H24" i="8"/>
  <c r="H25" i="8"/>
  <c r="H26" i="8"/>
  <c r="H27" i="8"/>
  <c r="K27" i="8" s="1"/>
  <c r="H28" i="8"/>
  <c r="H29" i="8"/>
  <c r="H30" i="8"/>
  <c r="H31" i="8"/>
  <c r="H34" i="8"/>
  <c r="K34" i="8" s="1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K26" i="8" s="1"/>
  <c r="F27" i="8"/>
  <c r="F28" i="8"/>
  <c r="F29" i="8"/>
  <c r="F30" i="8"/>
  <c r="F31" i="8"/>
  <c r="F34" i="8"/>
  <c r="D80" i="4"/>
  <c r="K31" i="8" l="1"/>
  <c r="K30" i="8"/>
  <c r="K22" i="8"/>
  <c r="K18" i="8"/>
  <c r="K25" i="8"/>
  <c r="K21" i="8"/>
  <c r="K24" i="8"/>
  <c r="K20" i="8"/>
  <c r="K14" i="8"/>
  <c r="K10" i="8"/>
  <c r="K12" i="8"/>
  <c r="K8" i="8"/>
  <c r="K13" i="8"/>
  <c r="K9" i="8"/>
  <c r="K155" i="4"/>
  <c r="K147" i="4"/>
  <c r="K143" i="4"/>
  <c r="K140" i="4"/>
  <c r="K121" i="4"/>
  <c r="K47" i="4"/>
  <c r="K14" i="4"/>
  <c r="K32" i="4"/>
  <c r="K161" i="4"/>
  <c r="K129" i="4"/>
  <c r="K120" i="4"/>
  <c r="K112" i="4"/>
  <c r="K94" i="4"/>
  <c r="K90" i="4"/>
  <c r="K78" i="4"/>
  <c r="K69" i="4"/>
  <c r="K37" i="4"/>
  <c r="K17" i="4"/>
  <c r="K130" i="4"/>
  <c r="K24" i="4"/>
  <c r="H80" i="4"/>
  <c r="J80" i="4"/>
  <c r="K28" i="8"/>
  <c r="K160" i="4"/>
  <c r="K153" i="4"/>
  <c r="K146" i="4"/>
  <c r="K142" i="4"/>
  <c r="K128" i="4"/>
  <c r="K93" i="4"/>
  <c r="K68" i="4"/>
  <c r="K36" i="4"/>
  <c r="K26" i="4"/>
  <c r="K20" i="4"/>
  <c r="K16" i="4"/>
  <c r="H162" i="4"/>
  <c r="K162" i="4" s="1"/>
  <c r="K145" i="4"/>
  <c r="K141" i="4"/>
  <c r="K125" i="4"/>
  <c r="K101" i="4"/>
  <c r="K92" i="4"/>
  <c r="K85" i="4"/>
  <c r="K74" i="4"/>
  <c r="K44" i="4"/>
  <c r="K25" i="4"/>
  <c r="D156" i="4"/>
  <c r="D154" i="4"/>
  <c r="J8" i="10"/>
  <c r="J9" i="10"/>
  <c r="J10" i="10"/>
  <c r="J11" i="10"/>
  <c r="J12" i="10"/>
  <c r="J13" i="10"/>
  <c r="J14" i="10"/>
  <c r="J15" i="10"/>
  <c r="J16" i="10"/>
  <c r="J17" i="10"/>
  <c r="K17" i="10" s="1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F8" i="10"/>
  <c r="K8" i="10" s="1"/>
  <c r="F9" i="10"/>
  <c r="F10" i="10"/>
  <c r="K10" i="10" s="1"/>
  <c r="F11" i="10"/>
  <c r="F13" i="10"/>
  <c r="F15" i="10"/>
  <c r="F16" i="10"/>
  <c r="F17" i="10"/>
  <c r="F18" i="10"/>
  <c r="F19" i="10"/>
  <c r="F20" i="10"/>
  <c r="F21" i="10"/>
  <c r="F22" i="10"/>
  <c r="K22" i="10" s="1"/>
  <c r="F23" i="10"/>
  <c r="F24" i="10"/>
  <c r="F25" i="10"/>
  <c r="F26" i="10"/>
  <c r="F28" i="10"/>
  <c r="F29" i="10"/>
  <c r="F30" i="10"/>
  <c r="F31" i="10"/>
  <c r="F32" i="10"/>
  <c r="F33" i="10"/>
  <c r="F34" i="10"/>
  <c r="F35" i="10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7" i="9"/>
  <c r="F28" i="9"/>
  <c r="F29" i="9"/>
  <c r="F30" i="9"/>
  <c r="F32" i="9"/>
  <c r="F33" i="9"/>
  <c r="F34" i="9"/>
  <c r="F35" i="9"/>
  <c r="F36" i="9"/>
  <c r="F37" i="9"/>
  <c r="F38" i="9"/>
  <c r="F39" i="9"/>
  <c r="F40" i="9"/>
  <c r="F41" i="9"/>
  <c r="J23" i="9"/>
  <c r="H23" i="9"/>
  <c r="F31" i="9"/>
  <c r="F26" i="9"/>
  <c r="F6" i="9"/>
  <c r="J41" i="9"/>
  <c r="H41" i="9"/>
  <c r="J40" i="9"/>
  <c r="H40" i="9"/>
  <c r="J39" i="9"/>
  <c r="H39" i="9"/>
  <c r="J38" i="9"/>
  <c r="H38" i="9"/>
  <c r="J37" i="9"/>
  <c r="H37" i="9"/>
  <c r="J36" i="9"/>
  <c r="H36" i="9"/>
  <c r="J35" i="9"/>
  <c r="H35" i="9"/>
  <c r="J34" i="9"/>
  <c r="H34" i="9"/>
  <c r="J33" i="9"/>
  <c r="H33" i="9"/>
  <c r="J32" i="9"/>
  <c r="H32" i="9"/>
  <c r="J31" i="9"/>
  <c r="H31" i="9"/>
  <c r="J30" i="9"/>
  <c r="H30" i="9"/>
  <c r="J29" i="9"/>
  <c r="H29" i="9"/>
  <c r="J28" i="9"/>
  <c r="H28" i="9"/>
  <c r="J27" i="9"/>
  <c r="H27" i="9"/>
  <c r="J26" i="9"/>
  <c r="H26" i="9"/>
  <c r="J25" i="9"/>
  <c r="H25" i="9"/>
  <c r="J24" i="9"/>
  <c r="H24" i="9"/>
  <c r="J22" i="9"/>
  <c r="H22" i="9"/>
  <c r="J21" i="9"/>
  <c r="H21" i="9"/>
  <c r="J20" i="9"/>
  <c r="H20" i="9"/>
  <c r="J19" i="9"/>
  <c r="H19" i="9"/>
  <c r="J18" i="9"/>
  <c r="H18" i="9"/>
  <c r="J17" i="9"/>
  <c r="H17" i="9"/>
  <c r="J16" i="9"/>
  <c r="H16" i="9"/>
  <c r="J15" i="9"/>
  <c r="H15" i="9"/>
  <c r="J14" i="9"/>
  <c r="H14" i="9"/>
  <c r="J13" i="9"/>
  <c r="H13" i="9"/>
  <c r="J12" i="9"/>
  <c r="H12" i="9"/>
  <c r="J11" i="9"/>
  <c r="H11" i="9"/>
  <c r="J10" i="9"/>
  <c r="H10" i="9"/>
  <c r="J9" i="9"/>
  <c r="H9" i="9"/>
  <c r="J8" i="9"/>
  <c r="H8" i="9"/>
  <c r="J7" i="9"/>
  <c r="H7" i="9"/>
  <c r="J6" i="9"/>
  <c r="H6" i="9"/>
  <c r="J7" i="10"/>
  <c r="H7" i="10"/>
  <c r="F7" i="10"/>
  <c r="J7" i="8"/>
  <c r="J35" i="8" s="1"/>
  <c r="H7" i="8"/>
  <c r="H35" i="8" s="1"/>
  <c r="F7" i="8"/>
  <c r="F35" i="8" s="1"/>
  <c r="K34" i="10" l="1"/>
  <c r="K30" i="10"/>
  <c r="K21" i="10"/>
  <c r="K26" i="10"/>
  <c r="K18" i="10"/>
  <c r="K33" i="10"/>
  <c r="K29" i="10"/>
  <c r="K32" i="10"/>
  <c r="K28" i="10"/>
  <c r="K20" i="10"/>
  <c r="K35" i="10"/>
  <c r="K31" i="10"/>
  <c r="K23" i="10"/>
  <c r="K19" i="10"/>
  <c r="K13" i="10"/>
  <c r="K16" i="10"/>
  <c r="K15" i="10"/>
  <c r="K11" i="10"/>
  <c r="F43" i="9"/>
  <c r="K9" i="10"/>
  <c r="K24" i="10"/>
  <c r="J154" i="4"/>
  <c r="H154" i="4"/>
  <c r="F154" i="4"/>
  <c r="F27" i="10"/>
  <c r="K27" i="10" s="1"/>
  <c r="J156" i="4"/>
  <c r="F156" i="4"/>
  <c r="H156" i="4"/>
  <c r="K80" i="4"/>
  <c r="J36" i="10"/>
  <c r="K25" i="10"/>
  <c r="H36" i="10"/>
  <c r="K7" i="8"/>
  <c r="K35" i="8" s="1"/>
  <c r="K23" i="9"/>
  <c r="K6" i="9"/>
  <c r="K40" i="9"/>
  <c r="K36" i="9"/>
  <c r="K32" i="9"/>
  <c r="K28" i="9"/>
  <c r="K24" i="9"/>
  <c r="K19" i="9"/>
  <c r="K15" i="9"/>
  <c r="K10" i="9"/>
  <c r="K12" i="9"/>
  <c r="K16" i="9"/>
  <c r="K20" i="9"/>
  <c r="K25" i="9"/>
  <c r="K29" i="9"/>
  <c r="K41" i="9"/>
  <c r="K33" i="9"/>
  <c r="K9" i="9"/>
  <c r="K14" i="9"/>
  <c r="K18" i="9"/>
  <c r="K22" i="9"/>
  <c r="K27" i="9"/>
  <c r="K31" i="9"/>
  <c r="K35" i="9"/>
  <c r="K39" i="9"/>
  <c r="K8" i="9"/>
  <c r="K13" i="9"/>
  <c r="K17" i="9"/>
  <c r="K21" i="9"/>
  <c r="K26" i="9"/>
  <c r="K30" i="9"/>
  <c r="K34" i="9"/>
  <c r="K38" i="9"/>
  <c r="K7" i="9"/>
  <c r="K11" i="9"/>
  <c r="K37" i="9"/>
  <c r="K7" i="10"/>
  <c r="J43" i="9"/>
  <c r="H43" i="9"/>
  <c r="K156" i="4" l="1"/>
  <c r="K154" i="4"/>
  <c r="F12" i="10"/>
  <c r="F14" i="10"/>
  <c r="K14" i="10" s="1"/>
  <c r="K43" i="9"/>
  <c r="K12" i="10" l="1"/>
  <c r="F36" i="10"/>
  <c r="J8" i="7"/>
  <c r="J9" i="7"/>
  <c r="J10" i="7"/>
  <c r="J11" i="7"/>
  <c r="J12" i="7"/>
  <c r="J13" i="7"/>
  <c r="J14" i="7"/>
  <c r="H8" i="7"/>
  <c r="H9" i="7"/>
  <c r="H10" i="7"/>
  <c r="K10" i="7" s="1"/>
  <c r="H11" i="7"/>
  <c r="H12" i="7"/>
  <c r="H13" i="7"/>
  <c r="H14" i="7"/>
  <c r="F8" i="7"/>
  <c r="F9" i="7"/>
  <c r="F10" i="7"/>
  <c r="F11" i="7"/>
  <c r="F12" i="7"/>
  <c r="F13" i="7"/>
  <c r="F14" i="7"/>
  <c r="K9" i="7" l="1"/>
  <c r="K12" i="7"/>
  <c r="K14" i="7"/>
  <c r="K13" i="7"/>
  <c r="K11" i="7"/>
  <c r="K8" i="7"/>
  <c r="J7" i="7"/>
  <c r="J15" i="7" s="1"/>
  <c r="H7" i="7"/>
  <c r="H15" i="7" s="1"/>
  <c r="F7" i="7"/>
  <c r="K39" i="10" l="1"/>
  <c r="K44" i="10"/>
  <c r="K37" i="10"/>
  <c r="K7" i="7"/>
  <c r="K15" i="7" s="1"/>
  <c r="K46" i="9"/>
  <c r="K51" i="9"/>
  <c r="K43" i="8"/>
  <c r="K23" i="7"/>
  <c r="K36" i="8"/>
  <c r="K36" i="10" l="1"/>
  <c r="K38" i="10" s="1"/>
  <c r="K40" i="10" s="1"/>
  <c r="K41" i="10" s="1"/>
  <c r="K42" i="10" s="1"/>
  <c r="K43" i="10" s="1"/>
  <c r="K45" i="10" s="1"/>
  <c r="K46" i="10" s="1"/>
  <c r="K47" i="10" s="1"/>
  <c r="K18" i="7"/>
  <c r="K37" i="8"/>
  <c r="F15" i="7"/>
  <c r="K16" i="7" s="1"/>
  <c r="J2" i="10" l="1"/>
  <c r="C12" i="6"/>
  <c r="K38" i="8"/>
  <c r="K39" i="8" s="1"/>
  <c r="K40" i="8" s="1"/>
  <c r="K41" i="8" s="1"/>
  <c r="K42" i="8" s="1"/>
  <c r="K44" i="8" s="1"/>
  <c r="K45" i="8" s="1"/>
  <c r="K46" i="8" s="1"/>
  <c r="K17" i="7"/>
  <c r="K19" i="7" s="1"/>
  <c r="K20" i="7" s="1"/>
  <c r="K21" i="7" s="1"/>
  <c r="K22" i="7" s="1"/>
  <c r="K24" i="7" s="1"/>
  <c r="K25" i="7" s="1"/>
  <c r="K26" i="7" s="1"/>
  <c r="C9" i="6" s="1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K19" i="5" s="1"/>
  <c r="H20" i="5"/>
  <c r="F7" i="5"/>
  <c r="F8" i="5"/>
  <c r="F9" i="5"/>
  <c r="F10" i="5"/>
  <c r="F11" i="5"/>
  <c r="F12" i="5"/>
  <c r="F13" i="5"/>
  <c r="F14" i="5"/>
  <c r="F15" i="5"/>
  <c r="K15" i="5" s="1"/>
  <c r="F16" i="5"/>
  <c r="F17" i="5"/>
  <c r="F18" i="5"/>
  <c r="F19" i="5"/>
  <c r="F20" i="5"/>
  <c r="D20" i="5"/>
  <c r="J20" i="5" s="1"/>
  <c r="K20" i="5" s="1"/>
  <c r="J6" i="5"/>
  <c r="H6" i="5"/>
  <c r="F6" i="5"/>
  <c r="K10" i="5" l="1"/>
  <c r="K13" i="5"/>
  <c r="K9" i="5"/>
  <c r="K16" i="5"/>
  <c r="K12" i="5"/>
  <c r="K18" i="5"/>
  <c r="K14" i="5"/>
  <c r="K8" i="5"/>
  <c r="K11" i="5"/>
  <c r="K7" i="5"/>
  <c r="J2" i="8"/>
  <c r="C10" i="6"/>
  <c r="K17" i="5"/>
  <c r="J2" i="7"/>
  <c r="K6" i="5"/>
  <c r="D158" i="4"/>
  <c r="D157" i="4"/>
  <c r="D152" i="4"/>
  <c r="D151" i="4"/>
  <c r="D149" i="4"/>
  <c r="D48" i="4"/>
  <c r="D49" i="4"/>
  <c r="D38" i="4"/>
  <c r="D39" i="4"/>
  <c r="K21" i="5" l="1"/>
  <c r="J152" i="4"/>
  <c r="F152" i="4"/>
  <c r="H152" i="4"/>
  <c r="J151" i="4"/>
  <c r="K151" i="4" s="1"/>
  <c r="F151" i="4"/>
  <c r="H151" i="4"/>
  <c r="H49" i="4"/>
  <c r="F49" i="4"/>
  <c r="J49" i="4"/>
  <c r="H48" i="4"/>
  <c r="J48" i="4"/>
  <c r="F48" i="4"/>
  <c r="H157" i="4"/>
  <c r="J157" i="4"/>
  <c r="F157" i="4"/>
  <c r="D43" i="4"/>
  <c r="J38" i="4"/>
  <c r="H38" i="4"/>
  <c r="F38" i="4"/>
  <c r="J39" i="4"/>
  <c r="H39" i="4"/>
  <c r="F39" i="4"/>
  <c r="H149" i="4"/>
  <c r="J149" i="4"/>
  <c r="K149" i="4" s="1"/>
  <c r="F149" i="4"/>
  <c r="J158" i="4"/>
  <c r="H158" i="4"/>
  <c r="F158" i="4"/>
  <c r="D150" i="4"/>
  <c r="D40" i="4"/>
  <c r="D41" i="4"/>
  <c r="D42" i="4"/>
  <c r="D46" i="4"/>
  <c r="D45" i="4"/>
  <c r="D31" i="4"/>
  <c r="K39" i="4" l="1"/>
  <c r="H41" i="4"/>
  <c r="F41" i="4"/>
  <c r="J41" i="4"/>
  <c r="K48" i="4"/>
  <c r="J42" i="4"/>
  <c r="H42" i="4"/>
  <c r="F42" i="4"/>
  <c r="J43" i="4"/>
  <c r="H43" i="4"/>
  <c r="F43" i="4"/>
  <c r="J31" i="4"/>
  <c r="H31" i="4"/>
  <c r="F31" i="4"/>
  <c r="H45" i="4"/>
  <c r="F45" i="4"/>
  <c r="J45" i="4"/>
  <c r="H40" i="4"/>
  <c r="J40" i="4"/>
  <c r="F40" i="4"/>
  <c r="K158" i="4"/>
  <c r="K157" i="4"/>
  <c r="J46" i="4"/>
  <c r="H46" i="4"/>
  <c r="F46" i="4"/>
  <c r="J150" i="4"/>
  <c r="H150" i="4"/>
  <c r="F150" i="4"/>
  <c r="K38" i="4"/>
  <c r="K49" i="4"/>
  <c r="K152" i="4"/>
  <c r="J21" i="5"/>
  <c r="D79" i="4"/>
  <c r="D131" i="4"/>
  <c r="K45" i="4" l="1"/>
  <c r="K41" i="4"/>
  <c r="K43" i="4"/>
  <c r="K31" i="4"/>
  <c r="J79" i="4"/>
  <c r="F79" i="4"/>
  <c r="H79" i="4"/>
  <c r="K46" i="4"/>
  <c r="K40" i="4"/>
  <c r="J131" i="4"/>
  <c r="F131" i="4"/>
  <c r="H131" i="4"/>
  <c r="K150" i="4"/>
  <c r="K42" i="4"/>
  <c r="H21" i="5"/>
  <c r="F21" i="5"/>
  <c r="K22" i="5" s="1"/>
  <c r="K23" i="5" s="1"/>
  <c r="D136" i="4"/>
  <c r="D133" i="4"/>
  <c r="D134" i="4"/>
  <c r="D138" i="4"/>
  <c r="D137" i="4"/>
  <c r="D132" i="4"/>
  <c r="D135" i="4"/>
  <c r="K131" i="4" l="1"/>
  <c r="J134" i="4"/>
  <c r="F134" i="4"/>
  <c r="H134" i="4"/>
  <c r="J132" i="4"/>
  <c r="F132" i="4"/>
  <c r="H132" i="4"/>
  <c r="H133" i="4"/>
  <c r="J133" i="4"/>
  <c r="F133" i="4"/>
  <c r="H137" i="4"/>
  <c r="J137" i="4"/>
  <c r="F137" i="4"/>
  <c r="J136" i="4"/>
  <c r="H136" i="4"/>
  <c r="F136" i="4"/>
  <c r="K79" i="4"/>
  <c r="J135" i="4"/>
  <c r="H135" i="4"/>
  <c r="F135" i="4"/>
  <c r="J138" i="4"/>
  <c r="H138" i="4"/>
  <c r="F138" i="4"/>
  <c r="K29" i="5"/>
  <c r="K24" i="5"/>
  <c r="K25" i="5" s="1"/>
  <c r="K26" i="5" s="1"/>
  <c r="K27" i="5" s="1"/>
  <c r="K28" i="5" s="1"/>
  <c r="D127" i="4"/>
  <c r="D124" i="4"/>
  <c r="D123" i="4"/>
  <c r="D22" i="4"/>
  <c r="D21" i="4"/>
  <c r="D118" i="4"/>
  <c r="D117" i="4"/>
  <c r="D116" i="4"/>
  <c r="D115" i="4"/>
  <c r="D114" i="4"/>
  <c r="D60" i="4"/>
  <c r="D58" i="4"/>
  <c r="D57" i="4"/>
  <c r="D51" i="4"/>
  <c r="D59" i="4"/>
  <c r="D50" i="4"/>
  <c r="D108" i="4"/>
  <c r="D104" i="4"/>
  <c r="D100" i="4"/>
  <c r="D96" i="4"/>
  <c r="D102" i="4"/>
  <c r="D95" i="4"/>
  <c r="D84" i="4"/>
  <c r="D72" i="4"/>
  <c r="D71" i="4"/>
  <c r="D73" i="4"/>
  <c r="D82" i="4"/>
  <c r="K137" i="4" l="1"/>
  <c r="J82" i="4"/>
  <c r="H82" i="4"/>
  <c r="F82" i="4"/>
  <c r="J95" i="4"/>
  <c r="F95" i="4"/>
  <c r="H95" i="4"/>
  <c r="J51" i="4"/>
  <c r="H51" i="4"/>
  <c r="F51" i="4"/>
  <c r="J114" i="4"/>
  <c r="H114" i="4"/>
  <c r="F114" i="4"/>
  <c r="J118" i="4"/>
  <c r="H118" i="4"/>
  <c r="F118" i="4"/>
  <c r="J124" i="4"/>
  <c r="K124" i="4" s="1"/>
  <c r="F124" i="4"/>
  <c r="H124" i="4"/>
  <c r="H100" i="4"/>
  <c r="J100" i="4"/>
  <c r="K100" i="4" s="1"/>
  <c r="F100" i="4"/>
  <c r="H60" i="4"/>
  <c r="J60" i="4"/>
  <c r="F60" i="4"/>
  <c r="J123" i="4"/>
  <c r="F123" i="4"/>
  <c r="H123" i="4"/>
  <c r="H73" i="4"/>
  <c r="F73" i="4"/>
  <c r="J73" i="4"/>
  <c r="H104" i="4"/>
  <c r="J104" i="4"/>
  <c r="F104" i="4"/>
  <c r="J71" i="4"/>
  <c r="H71" i="4"/>
  <c r="F71" i="4"/>
  <c r="J102" i="4"/>
  <c r="F102" i="4"/>
  <c r="H102" i="4"/>
  <c r="H108" i="4"/>
  <c r="J108" i="4"/>
  <c r="F108" i="4"/>
  <c r="H57" i="4"/>
  <c r="F57" i="4"/>
  <c r="J57" i="4"/>
  <c r="J115" i="4"/>
  <c r="F115" i="4"/>
  <c r="H115" i="4"/>
  <c r="H21" i="4"/>
  <c r="F21" i="4"/>
  <c r="J21" i="4"/>
  <c r="K21" i="4" s="1"/>
  <c r="J127" i="4"/>
  <c r="F127" i="4"/>
  <c r="H127" i="4"/>
  <c r="K135" i="4"/>
  <c r="K136" i="4"/>
  <c r="K134" i="4"/>
  <c r="H84" i="4"/>
  <c r="J84" i="4"/>
  <c r="F84" i="4"/>
  <c r="J59" i="4"/>
  <c r="H59" i="4"/>
  <c r="F59" i="4"/>
  <c r="H117" i="4"/>
  <c r="J117" i="4"/>
  <c r="F117" i="4"/>
  <c r="H72" i="4"/>
  <c r="J72" i="4"/>
  <c r="F72" i="4"/>
  <c r="H96" i="4"/>
  <c r="J96" i="4"/>
  <c r="F96" i="4"/>
  <c r="J50" i="4"/>
  <c r="H50" i="4"/>
  <c r="F50" i="4"/>
  <c r="J58" i="4"/>
  <c r="K58" i="4" s="1"/>
  <c r="H58" i="4"/>
  <c r="F58" i="4"/>
  <c r="H116" i="4"/>
  <c r="J116" i="4"/>
  <c r="F116" i="4"/>
  <c r="J22" i="4"/>
  <c r="H22" i="4"/>
  <c r="F22" i="4"/>
  <c r="K30" i="5"/>
  <c r="K31" i="5" s="1"/>
  <c r="K32" i="5" s="1"/>
  <c r="C8" i="6" s="1"/>
  <c r="K138" i="4"/>
  <c r="K133" i="4"/>
  <c r="K132" i="4"/>
  <c r="D63" i="4"/>
  <c r="D109" i="4"/>
  <c r="D122" i="4"/>
  <c r="D126" i="4"/>
  <c r="D105" i="4"/>
  <c r="D110" i="4"/>
  <c r="D87" i="4"/>
  <c r="D106" i="4"/>
  <c r="D65" i="4"/>
  <c r="D113" i="4"/>
  <c r="D23" i="4"/>
  <c r="D89" i="4"/>
  <c r="D53" i="4"/>
  <c r="D61" i="4"/>
  <c r="D56" i="4"/>
  <c r="D52" i="4"/>
  <c r="D64" i="4"/>
  <c r="D66" i="4"/>
  <c r="D62" i="4"/>
  <c r="D88" i="4"/>
  <c r="D70" i="4"/>
  <c r="J2" i="5" l="1"/>
  <c r="K127" i="4"/>
  <c r="K116" i="4"/>
  <c r="K104" i="4"/>
  <c r="K95" i="4"/>
  <c r="K72" i="4"/>
  <c r="H113" i="4"/>
  <c r="J113" i="4"/>
  <c r="F113" i="4"/>
  <c r="K96" i="4"/>
  <c r="K84" i="4"/>
  <c r="K60" i="4"/>
  <c r="K51" i="4"/>
  <c r="H61" i="4"/>
  <c r="F61" i="4"/>
  <c r="J61" i="4"/>
  <c r="H64" i="4"/>
  <c r="J64" i="4"/>
  <c r="K64" i="4" s="1"/>
  <c r="F64" i="4"/>
  <c r="H65" i="4"/>
  <c r="F65" i="4"/>
  <c r="J65" i="4"/>
  <c r="K65" i="4" s="1"/>
  <c r="H88" i="4"/>
  <c r="J88" i="4"/>
  <c r="F88" i="4"/>
  <c r="H52" i="4"/>
  <c r="J52" i="4"/>
  <c r="F52" i="4"/>
  <c r="H89" i="4"/>
  <c r="F89" i="4"/>
  <c r="J89" i="4"/>
  <c r="J106" i="4"/>
  <c r="H106" i="4"/>
  <c r="F106" i="4"/>
  <c r="J126" i="4"/>
  <c r="H126" i="4"/>
  <c r="F126" i="4"/>
  <c r="K22" i="4"/>
  <c r="K115" i="4"/>
  <c r="K71" i="4"/>
  <c r="K73" i="4"/>
  <c r="K114" i="4"/>
  <c r="J66" i="4"/>
  <c r="K66" i="4" s="1"/>
  <c r="H66" i="4"/>
  <c r="F66" i="4"/>
  <c r="J110" i="4"/>
  <c r="F110" i="4"/>
  <c r="H110" i="4"/>
  <c r="H109" i="4"/>
  <c r="J109" i="4"/>
  <c r="F109" i="4"/>
  <c r="J70" i="4"/>
  <c r="H70" i="4"/>
  <c r="F70" i="4"/>
  <c r="H53" i="4"/>
  <c r="J53" i="4"/>
  <c r="F53" i="4"/>
  <c r="H105" i="4"/>
  <c r="F105" i="4"/>
  <c r="J105" i="4"/>
  <c r="J62" i="4"/>
  <c r="H62" i="4"/>
  <c r="F62" i="4"/>
  <c r="H56" i="4"/>
  <c r="J56" i="4"/>
  <c r="F56" i="4"/>
  <c r="J23" i="4"/>
  <c r="F23" i="4"/>
  <c r="H23" i="4"/>
  <c r="J87" i="4"/>
  <c r="K87" i="4" s="1"/>
  <c r="H87" i="4"/>
  <c r="F87" i="4"/>
  <c r="J122" i="4"/>
  <c r="H122" i="4"/>
  <c r="F122" i="4"/>
  <c r="J63" i="4"/>
  <c r="H63" i="4"/>
  <c r="F63" i="4"/>
  <c r="K50" i="4"/>
  <c r="K117" i="4"/>
  <c r="K59" i="4"/>
  <c r="K57" i="4"/>
  <c r="K108" i="4"/>
  <c r="K102" i="4"/>
  <c r="K123" i="4"/>
  <c r="K118" i="4"/>
  <c r="K82" i="4"/>
  <c r="D86" i="4"/>
  <c r="K126" i="4" l="1"/>
  <c r="K110" i="4"/>
  <c r="K109" i="4"/>
  <c r="K23" i="4"/>
  <c r="K122" i="4"/>
  <c r="K56" i="4"/>
  <c r="K62" i="4"/>
  <c r="J86" i="4"/>
  <c r="H86" i="4"/>
  <c r="F86" i="4"/>
  <c r="K63" i="4"/>
  <c r="K105" i="4"/>
  <c r="K53" i="4"/>
  <c r="K70" i="4"/>
  <c r="K106" i="4"/>
  <c r="K88" i="4"/>
  <c r="K61" i="4"/>
  <c r="K113" i="4"/>
  <c r="K89" i="4"/>
  <c r="K52" i="4"/>
  <c r="D76" i="4"/>
  <c r="D77" i="4"/>
  <c r="D83" i="4"/>
  <c r="K86" i="4" l="1"/>
  <c r="H77" i="4"/>
  <c r="F77" i="4"/>
  <c r="J77" i="4"/>
  <c r="J83" i="4"/>
  <c r="H83" i="4"/>
  <c r="F83" i="4"/>
  <c r="H76" i="4"/>
  <c r="J76" i="4"/>
  <c r="F76" i="4"/>
  <c r="F111" i="4"/>
  <c r="K111" i="4" s="1"/>
  <c r="D75" i="4"/>
  <c r="D35" i="4"/>
  <c r="D34" i="4"/>
  <c r="D33" i="4"/>
  <c r="K83" i="4" l="1"/>
  <c r="K77" i="4"/>
  <c r="K76" i="4"/>
  <c r="J35" i="4"/>
  <c r="H35" i="4"/>
  <c r="F35" i="4"/>
  <c r="J75" i="4"/>
  <c r="H75" i="4"/>
  <c r="F75" i="4"/>
  <c r="H33" i="4"/>
  <c r="J33" i="4"/>
  <c r="F33" i="4"/>
  <c r="J34" i="4"/>
  <c r="H34" i="4"/>
  <c r="F34" i="4"/>
  <c r="D30" i="4"/>
  <c r="D55" i="4"/>
  <c r="D54" i="4"/>
  <c r="K75" i="4" l="1"/>
  <c r="K33" i="4"/>
  <c r="J54" i="4"/>
  <c r="H54" i="4"/>
  <c r="F54" i="4"/>
  <c r="J55" i="4"/>
  <c r="H55" i="4"/>
  <c r="F55" i="4"/>
  <c r="K34" i="4"/>
  <c r="J30" i="4"/>
  <c r="H30" i="4"/>
  <c r="F30" i="4"/>
  <c r="K35" i="4"/>
  <c r="D29" i="4"/>
  <c r="D28" i="4"/>
  <c r="D27" i="4"/>
  <c r="K55" i="4" l="1"/>
  <c r="K30" i="4"/>
  <c r="H29" i="4"/>
  <c r="F29" i="4"/>
  <c r="J29" i="4"/>
  <c r="K29" i="4" s="1"/>
  <c r="J27" i="4"/>
  <c r="H27" i="4"/>
  <c r="F27" i="4"/>
  <c r="H28" i="4"/>
  <c r="J28" i="4"/>
  <c r="F28" i="4"/>
  <c r="K54" i="4"/>
  <c r="D99" i="4"/>
  <c r="D98" i="4"/>
  <c r="D97" i="4"/>
  <c r="K28" i="4" l="1"/>
  <c r="K27" i="4"/>
  <c r="J98" i="4"/>
  <c r="H98" i="4"/>
  <c r="F98" i="4"/>
  <c r="J99" i="4"/>
  <c r="K99" i="4" s="1"/>
  <c r="H99" i="4"/>
  <c r="F99" i="4"/>
  <c r="H97" i="4"/>
  <c r="F97" i="4"/>
  <c r="J97" i="4"/>
  <c r="K97" i="4" l="1"/>
  <c r="K98" i="4"/>
  <c r="F107" i="4"/>
  <c r="K107" i="4" s="1"/>
  <c r="J13" i="4"/>
  <c r="J163" i="4" s="1"/>
  <c r="F13" i="4" l="1"/>
  <c r="F163" i="4" s="1"/>
  <c r="K164" i="4" l="1"/>
  <c r="H13" i="4"/>
  <c r="H163" i="4" s="1"/>
  <c r="K13" i="4" l="1"/>
  <c r="K163" i="4" s="1"/>
  <c r="K171" i="4"/>
  <c r="K165" i="4" l="1"/>
  <c r="K166" i="4" s="1"/>
  <c r="K167" i="4" s="1"/>
  <c r="K168" i="4" s="1"/>
  <c r="K169" i="4" s="1"/>
  <c r="K170" i="4" l="1"/>
  <c r="K172" i="4" s="1"/>
  <c r="K173" i="4" s="1"/>
  <c r="K174" i="4" s="1"/>
  <c r="J8" i="4" s="1"/>
  <c r="C7" i="6" s="1"/>
  <c r="D42" i="9"/>
  <c r="F42" i="9" s="1"/>
  <c r="K44" i="9"/>
  <c r="K45" i="9" s="1"/>
  <c r="K47" i="9" s="1"/>
  <c r="K48" i="9" s="1"/>
  <c r="K49" i="9" s="1"/>
  <c r="K50" i="9" s="1"/>
  <c r="K52" i="9" s="1"/>
  <c r="K53" i="9" s="1"/>
  <c r="K54" i="9" s="1"/>
  <c r="J2" i="9" l="1"/>
  <c r="C11" i="6"/>
  <c r="C14" i="6" s="1"/>
  <c r="H42" i="9"/>
  <c r="J42" i="9"/>
  <c r="K42" i="9" l="1"/>
</calcChain>
</file>

<file path=xl/sharedStrings.xml><?xml version="1.0" encoding="utf-8"?>
<sst xmlns="http://schemas.openxmlformats.org/spreadsheetml/2006/main" count="707" uniqueCount="305">
  <si>
    <t>NN</t>
  </si>
  <si>
    <t>სამუშაოების დასახელება</t>
  </si>
  <si>
    <t>განზ</t>
  </si>
  <si>
    <t>რაოდენობა</t>
  </si>
  <si>
    <t>მასალა</t>
  </si>
  <si>
    <t>ხელფასი</t>
  </si>
  <si>
    <t>ჯამი</t>
  </si>
  <si>
    <t>ერთ ფასი</t>
  </si>
  <si>
    <t>მ²</t>
  </si>
  <si>
    <t>კომპ</t>
  </si>
  <si>
    <t>მ</t>
  </si>
  <si>
    <t>სხვა მასალები</t>
  </si>
  <si>
    <t>ლარი</t>
  </si>
  <si>
    <t>კგ</t>
  </si>
  <si>
    <t>სატრანსპორტო ხარჯი</t>
  </si>
  <si>
    <t>ზედნადები ხარჯი</t>
  </si>
  <si>
    <t>გეგმიური დაგროვება</t>
  </si>
  <si>
    <t xml:space="preserve">დღგ </t>
  </si>
  <si>
    <t>სულ ჯამი</t>
  </si>
  <si>
    <t>1.   სადემონტაჟო სამუშაოები</t>
  </si>
  <si>
    <t>გაუთვალისწინებელი ხარჯები</t>
  </si>
  <si>
    <t>ცალი</t>
  </si>
  <si>
    <t xml:space="preserve">ფითხი   </t>
  </si>
  <si>
    <t xml:space="preserve">ზუმფარა     0.009 </t>
  </si>
  <si>
    <t>საპენსიო დანარიცხები</t>
  </si>
  <si>
    <t>2. სამშენებლო  სამუშაოები</t>
  </si>
  <si>
    <t xml:space="preserve">წებოცემენტი   </t>
  </si>
  <si>
    <t>ფუგა     0.04</t>
  </si>
  <si>
    <t xml:space="preserve">მანქანა/მექანიზმი და სხვა მანქანები </t>
  </si>
  <si>
    <t>სამღებრო ბადე ლენტა</t>
  </si>
  <si>
    <t>სამღებრო კუთხოვანა</t>
  </si>
  <si>
    <t xml:space="preserve">ხარჯთაღრიცხვა </t>
  </si>
  <si>
    <t>მ³</t>
  </si>
  <si>
    <t>ფილების სამონტაჟო დეტალები პლასტიკატის</t>
  </si>
  <si>
    <t>თვითსწორებადი იატაკის ფხვნილი</t>
  </si>
  <si>
    <t xml:space="preserve">თაბ.მუყ. ფილა  ნესტგამძლე    </t>
  </si>
  <si>
    <t>საიზოლაციო ლენტი იატაკის პროფილზე</t>
  </si>
  <si>
    <t>ემულსიური საღებავი რეცხვადი</t>
  </si>
  <si>
    <t>ცალ</t>
  </si>
  <si>
    <r>
      <t>მ</t>
    </r>
    <r>
      <rPr>
        <sz val="9"/>
        <color theme="1"/>
        <rFont val="Cambria"/>
        <family val="1"/>
        <charset val="204"/>
      </rPr>
      <t>³</t>
    </r>
  </si>
  <si>
    <r>
      <t>მ</t>
    </r>
    <r>
      <rPr>
        <sz val="9"/>
        <color theme="1"/>
        <rFont val="Cambria"/>
        <family val="1"/>
        <charset val="204"/>
      </rPr>
      <t>²</t>
    </r>
  </si>
  <si>
    <t>ტნ</t>
  </si>
  <si>
    <t xml:space="preserve">სხვა მასალები    </t>
  </si>
  <si>
    <t>ქვიშა-ცემენტის ხსნარი        M100</t>
  </si>
  <si>
    <t xml:space="preserve">ბლოკი  30Χ40Χ20      </t>
  </si>
  <si>
    <t>ტიხრებისა და კედლების დამუშავება და შეღებვა ემულსიური საღებავით</t>
  </si>
  <si>
    <t>თვითსწორებადი იატაკის მოწყობა</t>
  </si>
  <si>
    <t>ბეტონის იატაკში საკანალიზაციო გაყვანილობის სამონტაჟო არხებს ამოჭრა</t>
  </si>
  <si>
    <t>სამშენებლო ნარჩენების შეგროვება-გატანა-დატვირთვა ა/მ-ზე</t>
  </si>
  <si>
    <t>სამშენებლო ნარჩენების ტრანსპორტირება 15 კმ მანძილზე</t>
  </si>
  <si>
    <t>ორკომპონენტიანი ჰიდროსაიზოლაციო ხსნარი Weber-ის ტიპის</t>
  </si>
  <si>
    <t>პოლიეთილენის საიზოლაციო ფენილი</t>
  </si>
  <si>
    <t xml:space="preserve">ზედაპირის სასწორებელი პროფილი 0.35*35*3000მმ (მაიაკი) </t>
  </si>
  <si>
    <t xml:space="preserve">ქვიშაცემენტის ნარევი </t>
  </si>
  <si>
    <r>
      <t>მ</t>
    </r>
    <r>
      <rPr>
        <sz val="9"/>
        <color theme="1"/>
        <rFont val="Calibri"/>
        <family val="2"/>
        <charset val="204"/>
      </rPr>
      <t>²</t>
    </r>
  </si>
  <si>
    <t xml:space="preserve">კერამოგრანიტის ფილების მოწყობა  იატაკზე </t>
  </si>
  <si>
    <t>კერამოგრანიტის პლინტუსის მოწყობა  7 სმ</t>
  </si>
  <si>
    <t>ფუგა     (ფილის ფერი)</t>
  </si>
  <si>
    <t>სამონტაჟო მაკომპლექტებელი პლასტიკატის</t>
  </si>
  <si>
    <t>გრუნტი (თვითსწორებდზე)</t>
  </si>
  <si>
    <t>კაფელის მოწყობა კედლებზე სან.კვანძებში</t>
  </si>
  <si>
    <t xml:space="preserve">ფასადის დაზიანებული ნალესის დემონტაჟი </t>
  </si>
  <si>
    <t>მთავარი შესასვლელი ალუმინის კარის ბლოკის დემონტაჟი, აწევა 5სმ-ზე და მონტაჟი</t>
  </si>
  <si>
    <t>დაზიანებული მინაპაკეტის დემონტაჟი</t>
  </si>
  <si>
    <t xml:space="preserve">ალუმინის ვტრაჟების დემონტაჟი (ღიობებში ალუმინის კარისა და ფანჯრის მოსაწყობად) </t>
  </si>
  <si>
    <t>ბლოკის ტიხრების დემონტაჟი (22 სმ)</t>
  </si>
  <si>
    <t>კერამიკული ფილა კფაელი  RAL 9003, 200X400</t>
  </si>
  <si>
    <t xml:space="preserve">კტ ოთახის კედლების ამოშენება 30Χ40Χ20 ზომის სავსე ბლოკით </t>
  </si>
  <si>
    <t>ცემენტი</t>
  </si>
  <si>
    <t xml:space="preserve">ბარიტი </t>
  </si>
  <si>
    <t>კტ ოთახის კედლების, ჭერის და იატაკის შელესვა ბარიტის ფენით</t>
  </si>
  <si>
    <t>მავთულბადე (ჭერზე ასკრავი ლესვისათვის)</t>
  </si>
  <si>
    <t>ფასადის ბლოკის კედლებში კარის ღიობების ამოჭრა</t>
  </si>
  <si>
    <t xml:space="preserve">კედლების ღიობების ამოშენება 20Χ40Χ20 ბლოკით </t>
  </si>
  <si>
    <t xml:space="preserve">კედლების ღიობების ამოშენება 10Χ40Χ20 ბლოკით </t>
  </si>
  <si>
    <t xml:space="preserve">ბლოკი  10Χ40Χ20      </t>
  </si>
  <si>
    <t xml:space="preserve">ბლოკი  20Χ40Χ20      </t>
  </si>
  <si>
    <t>კედლების შელესვა</t>
  </si>
  <si>
    <t>ქვიშა</t>
  </si>
  <si>
    <t>თაბ.მუყ. ფილა ცეცხლგამძლე</t>
  </si>
  <si>
    <t xml:space="preserve">თაბ.მუყ. ფილა </t>
  </si>
  <si>
    <t xml:space="preserve">თ/მუყაოს ტიხრები ცეცხლგამძლე ბგერა თბო იზოლაციით 100 მმ  </t>
  </si>
  <si>
    <t xml:space="preserve">თ/მუყაოს ტიხრები ნესტგამძლე ბგერა თბო იზოლაციით 100 მმ </t>
  </si>
  <si>
    <t>თ/მუყაოს ტიხრები ბგერა თბო იზოლაციით  100 მმ</t>
  </si>
  <si>
    <t>თ/მუყაოს ტიხრები კომბინირებული ბგერა თბო იზოლაციით 100 მმ</t>
  </si>
  <si>
    <t>თ/მუყაოს მოპირკეთება 75 მმ</t>
  </si>
  <si>
    <t>პროფილები დგარის CW 75*0,5 მმ, მიმმართვ. UW75*0,5; ხრახნები, გამჭედი დუბელი და სხვა მასალები 1მ² ტიხარზე</t>
  </si>
  <si>
    <t>პროფილი CD 27/60/27/0.50; UD 0.50 და  ხრახნები, გამჭედი დუბელი და სხვა მასალები 1მ² მოპირკეთებაზე</t>
  </si>
  <si>
    <t>საიზოლაციო მასალა  ქვაბამბა 50 მმ</t>
  </si>
  <si>
    <t>იატაკები</t>
  </si>
  <si>
    <t>კედლები, ტიხრები</t>
  </si>
  <si>
    <t>ჭერი</t>
  </si>
  <si>
    <t xml:space="preserve">არმსტრონგის შეკიდული ჭერის მოწყობა </t>
  </si>
  <si>
    <t xml:space="preserve">არმსტრონგის ჭერის Т 24 ტიპის პროფილები, კუთხოვანა პერიმეტრის, საკიდი, დუბელი  და სხვა დეტალებით </t>
  </si>
  <si>
    <t>არმსტრონგის ჭერის 600x600x12 მმ ფილები, თეთრი, სინათლის 90% არეკვლა, ნესტგამძლეობა 95%, ცეცხლმედეგობა 30 წთ</t>
  </si>
  <si>
    <t xml:space="preserve">ლითონის შეკიდული ჭერის მოწყობა </t>
  </si>
  <si>
    <t xml:space="preserve">ჭერის  პროფილები, კუთხოვანა პერიმეტრის, საკიდი, დუბელი  და სხვა დეტალებით </t>
  </si>
  <si>
    <t>ლითონის ჭერი ფირფიტები</t>
  </si>
  <si>
    <t xml:space="preserve">ცემენტმჭიმის ნაწილობრივი დემონტაჟი </t>
  </si>
  <si>
    <r>
      <t xml:space="preserve">ქვიშაცემენტის მჭიმის მოწყობა </t>
    </r>
    <r>
      <rPr>
        <sz val="10"/>
        <color theme="1"/>
        <rFont val="Sylfaen"/>
        <family val="1"/>
      </rPr>
      <t>50 მმ</t>
    </r>
    <r>
      <rPr>
        <b/>
        <sz val="10"/>
        <color theme="1"/>
        <rFont val="Sylfaen"/>
        <family val="1"/>
      </rPr>
      <t xml:space="preserve"> და ჰიდროიზოლაცია</t>
    </r>
  </si>
  <si>
    <t xml:space="preserve">მეტლახის იატაკის მოწყობა </t>
  </si>
  <si>
    <t>მდფ კარის ბლოკების მონტაჟი</t>
  </si>
  <si>
    <t>მდფ კარის ბლოკი ერთფრთიანი შიდა საკეტით 90X210  16 ც, D3,D4</t>
  </si>
  <si>
    <t>მდფ კარის ბლოკი ერთფრთიანი 90X210    24 ც , D5,D6, მაღალი ხარისხის საკეტით, სახელური სამდიცინო დანიშნულების სტანდარტით</t>
  </si>
  <si>
    <t>მდფ კარის ბლოკი ერთფრთიანი 95X210    40 ც,  D7,D8,  მაღალი ხარისხის საკეტით, სახელური სამდიცინო დანიშნულების სტანდარტით</t>
  </si>
  <si>
    <t>მდფ კარის ბლოკი ერთფრთიანი  95X210   2 ც,    D7p, D8p, სავენტილაციო ცხაურით,  მაღალი ხარისხის საკეტით, სახელური სამდიცინო დანიშნულების სტანდარტით</t>
  </si>
  <si>
    <t>მდფ კარის ბლოკის ორფრთიანი, ასიმეტრიული ჭრით, სარკმელით, 125X210  2 ც  D9,D10,  მაღალი ხარისხის საკეტით, სახელური სამდიცინო დანიშნულების სტანდარტით</t>
  </si>
  <si>
    <t>მდფ კარის ბლოკის ორფრთიანი, სიმეტრიული ჭრით, სარკმლებით, 155X210  2 ც  D11,  მაღალი ხარისხის საკეტით, სახელური სამდიცინო დანიშნულების სტანდარტით</t>
  </si>
  <si>
    <t>ფასადის ბლოკის კედლებში ფაჯრის ღიობების ამოჭრა</t>
  </si>
  <si>
    <t>ამოჭრილი ღიობების ფერდილების შელესვა</t>
  </si>
  <si>
    <t>რენტგენოდამცავი ლითონის კარი ორფრთიანი, ასიმეტრიული ჭრით, 125X210  1 ც  D10xray,</t>
  </si>
  <si>
    <r>
      <t>ალუმინის თერმოპანელის კარის ბლოკი ვტრაჟით, შავი პროფილი</t>
    </r>
    <r>
      <rPr>
        <sz val="10"/>
        <color theme="1"/>
        <rFont val="Sylfaen"/>
        <family val="1"/>
      </rPr>
      <t xml:space="preserve"> (არსებულის მსგავსი)</t>
    </r>
  </si>
  <si>
    <t xml:space="preserve">ალუმინის ფანჯრის ბლოკი </t>
  </si>
  <si>
    <t>კარისა და ფანჯრის ბლოკები</t>
  </si>
  <si>
    <t xml:space="preserve">ფასადის ფანჯრის ბლოკი ალუმინის  100X270  19ც , ვიტრაჟი ერთშრიანი მინპაკეტიV5, </t>
  </si>
  <si>
    <t>ალუმინის ფანჯარა გადასაცემი, ალდოქსის პროფილი, 4 მმ ნაწრთობი შუშით 70X100</t>
  </si>
  <si>
    <t>საღებავის გრუნტი</t>
  </si>
  <si>
    <t>რენტგენოდამცავი მინის მონტაჟი 100X80 სმ</t>
  </si>
  <si>
    <t>ფასადის ალუმინის კარის ბლოკი (თერმოპროფილი , შავი)  265X270  3 ც , V4, 6 მმ ნაწრთობი შუშით; ვიტრაჟი ერთშრიანი მინპაკეტით</t>
  </si>
  <si>
    <t>ფასადის ალუმინის კარის ბლოკი (თერმოპროფილი , შავი) ვიტრაჟით 2050X270  3 ც , V3, 6 მმ ნაწრთობი შუშით; ვიტრაჟი ერთშრიანი მინპაკეტით</t>
  </si>
  <si>
    <t>ფასადის ალუმინის კარის ბლოკი (თერმოპროფილი , შავი)  100X270  2 ც,  V1,V2, 6 მმ ნაწრთობი შუშით</t>
  </si>
  <si>
    <t>ერთშრიანი მინაპაკეტის მონტაჟი (არსებულის შეცვლა)</t>
  </si>
  <si>
    <t>ღებვა</t>
  </si>
  <si>
    <t>ფასადის დაზიანებული ფრაგმენტების გაწმენდა დამუშავება და შეღებვა არსებული საღებავის მსგავსი მასალით</t>
  </si>
  <si>
    <t xml:space="preserve">იატაკზე ლამინირებული ფილების  მოწყობა  </t>
  </si>
  <si>
    <t>ლამინირებული იატაკის ქვეშსაგები ექსტრუდირებული პოლისტიროლის ფილა 3მმ</t>
  </si>
  <si>
    <t>ლამინირებული იატაკი 1291*193*12მმ , 33 კლასი (ე.წ. კანტით)</t>
  </si>
  <si>
    <t>სხვა დამხმარე მასალები</t>
  </si>
  <si>
    <t xml:space="preserve">იატაკზე ვინილის სფარის მოწყობა  </t>
  </si>
  <si>
    <t xml:space="preserve">ვინილის პლინტუსის მოწყობა  </t>
  </si>
  <si>
    <t>ვინილი ანტისტატიკური სამედიცინო დანიშნ.</t>
  </si>
  <si>
    <t>ძაფი პოლივინილქლორიდის</t>
  </si>
  <si>
    <t xml:space="preserve">ვინილის წებო უზინი ან მსგავსი    </t>
  </si>
  <si>
    <t xml:space="preserve">წებო ბიზონკიტი ან მსგავსი </t>
  </si>
  <si>
    <t>წებო გრაფიტის (ანტისტატიკური ვინილისათვის)</t>
  </si>
  <si>
    <t>მეტლახის ფილა  RAL 7004, 250X500</t>
  </si>
  <si>
    <t>მეტლახის ფილა ყინვაგამძლე  RAL 7004, 250X500</t>
  </si>
  <si>
    <t xml:space="preserve">კერამოგრანიტის 1200X600X10 მმ, ხაოიანი, III კლასის საექსპლუატაციო მახასიათებლით, RAL 7035 </t>
  </si>
  <si>
    <t>წებოცემენტი   ყინვაგამძლე</t>
  </si>
  <si>
    <t>მდფ პლინტუსი 100X80 მმ კომპლექტაციით, სამაგრი დეტალებით</t>
  </si>
  <si>
    <t xml:space="preserve">ქ. თბილისი, შანდორ პეტოფის №36, პოლიკლინიკის მოწყობის სარეკონსტრუქციო სამუშაოების                           </t>
  </si>
  <si>
    <t xml:space="preserve"> </t>
  </si>
  <si>
    <t>მილკვადრატი 100X100X4 მმ</t>
  </si>
  <si>
    <t>მილკვადრატი 40X40X3 მმ</t>
  </si>
  <si>
    <r>
      <t xml:space="preserve">ლითონის სახანძრო კიბის მონტაჟი IV სართულამდე გვერდით ფასადიდან </t>
    </r>
    <r>
      <rPr>
        <sz val="10"/>
        <color theme="1"/>
        <rFont val="Sylfaen"/>
        <family val="1"/>
      </rPr>
      <t>(კონსტრუქციული მონტაჟის დეტალები დაზუსტდეს ადგილზე დამკვეთის მითითებით)</t>
    </r>
  </si>
  <si>
    <t>მილკვადრატი 40X20X2 მმ</t>
  </si>
  <si>
    <t>მილკვადრატი 120X80X3  მმ</t>
  </si>
  <si>
    <t>დაღარული ლითონის ფურცელი 2 მმ</t>
  </si>
  <si>
    <t>ჩასადუღებელი ლითონის დეტალები</t>
  </si>
  <si>
    <t>ჩასამაგრებელი ლითონის დეტალები</t>
  </si>
  <si>
    <t>საღებავი ანტიკოროზიული შავი</t>
  </si>
  <si>
    <t>საღებავის გამხსნელი</t>
  </si>
  <si>
    <t>ლიტ</t>
  </si>
  <si>
    <t>ელექტროდი</t>
  </si>
  <si>
    <t xml:space="preserve">ბეტონის კიბის ბაქნისა და საფეხურების მოწყობა </t>
  </si>
  <si>
    <t>ბეტონი B25</t>
  </si>
  <si>
    <t>ბაზალტის  ფილა 20 მმ</t>
  </si>
  <si>
    <t>წებოცემენტი ყინვაგამძლე</t>
  </si>
  <si>
    <t xml:space="preserve">არმატურა A10 </t>
  </si>
  <si>
    <t>სამშენებლო სამუშაოები</t>
  </si>
  <si>
    <t>პაჩ-პანელი Cat5e კაბელისთვის, UTP/FTP; T568A და
T568B სტანდარტი; RJ45; მარკირების ადგილი; rack
mountable; მოოქროვება 3U; IDC კონექტორის ციკლი -
200მინ; RJ45 ბუდის სასიცოცხლო ციკლი 750 მინ.</t>
  </si>
  <si>
    <t xml:space="preserve"> Cat5e, შიდა გამოყენების ; FTP; ერთჟილიანი 8 წვერი,
4 წყვილად ხვეული; 100% სპილენძი; კვეთა 0.48-0.5მმ;
სამუშაო დიაპაზონი -15+50C</t>
  </si>
  <si>
    <t>Cat5e კაბელისთვის, UTP/FTP; T568A და T568B
სტანდარტი; 2 ბუდე RJ45; მოოქროვება 3U;
მარკირების ადგილი; RoHS სერთიფიცირება;
(პანელით,სოკეტით, ჩარჩოთი)</t>
  </si>
  <si>
    <t>პლასტმასის უნაგირიანი ლურსმანი</t>
  </si>
  <si>
    <t>ც</t>
  </si>
  <si>
    <t>ხამუთი 180X4.5 mm</t>
  </si>
  <si>
    <t>სახანძრო უსაფრთხოება</t>
  </si>
  <si>
    <t>სანტექნიკა</t>
  </si>
  <si>
    <t>Cat5e კაბელისთვის, UTP/FTP; T568A და T568B
სტანდარტი; 1 ბუდე RJ45; მოოქროვება 3U;
მარკირების ადგილი; RoHS სერთიფიცირება;
(პანელით,სოკეტით, ჩარჩოთი)</t>
  </si>
  <si>
    <t>Cat5e კაბელისთვის, UTP/FTP; T568A და T568B
სტანდარტი; 2 ბუდე RJ45; მოოქროვება 3U;
მარკირების ადგილი; RoHS სერთიფიცირება;
(პანელით,სოკეტით, ჩარჩოთი) ღია დაყენების კოლოფით</t>
  </si>
  <si>
    <t>Cat5e კაბელისთვის, UTP/FTP; T568A და T568B
სტანდარტი; 1 ბუდე RJ45; მოოქროვება 3U;
მარკირების ადგილი; RoHS სერთიფიცირება;
(პანელით,სოკეტით, ჩარჩოთი) ღია დაყენების კოლოფით</t>
  </si>
  <si>
    <t xml:space="preserve">პლასტმასის საკაბელო  კორობი 40X20 სამაგრით </t>
  </si>
  <si>
    <t xml:space="preserve"> PDU ჩართვა-გამორთვის ღილაკით  საკომუნიკაციო კარადაში დასამონტაჟებელი 6 როზეტით.</t>
  </si>
  <si>
    <t>24U  საკომუნიკაციო კარადა (რეკი) 1000x800 მმ</t>
  </si>
  <si>
    <t>ჰორიზონტალური კაბელის მიმმართველი რეკისათვის</t>
  </si>
  <si>
    <t xml:space="preserve"> სუსტი დენები, კომპიუტერული დაქსელვა</t>
  </si>
  <si>
    <t>ქსელის ტესტირება დოკუმენტური რეპორტით</t>
  </si>
  <si>
    <t>ზედნადები ხარჯი ხელფასიდან</t>
  </si>
  <si>
    <t>საპენსიო დანარიცხი</t>
  </si>
  <si>
    <t>დღგ</t>
  </si>
  <si>
    <t>საერთო ჯამი</t>
  </si>
  <si>
    <t>კომპიუტერული დაქსელვა</t>
  </si>
  <si>
    <t>ელექტროობა</t>
  </si>
  <si>
    <t>სახანძრო სიგნალიზაცია</t>
  </si>
  <si>
    <t>სანტექნუკური სამუშაოები</t>
  </si>
  <si>
    <t>სასიგნალო ხელის ღილაკი მისამართიანი, მოკლე ჩართვის იზოლატორით, სამონტაჟო ძირით</t>
  </si>
  <si>
    <t>კვამლის სახანძრო სენსორი სამონტაჟო ძირით</t>
  </si>
  <si>
    <t>მისამართიანი მრავალფუნქციონალური (მულტი) კვამლის  სახანძრო სენსორი  სამონტაჟო ძირით</t>
  </si>
  <si>
    <t>კედლის მისამართიანი  სასიგნალო საყვირი კომბინირებული, მოკლე ჩართვის იზოლატორით, ნათებით და ხმოვანი სიგნალით, სამონტაჟო ძირით</t>
  </si>
  <si>
    <t xml:space="preserve"> საკომუნიკაციო კაბელი ცეცხლგამძლე სამაგრებით  3 X 0.8 </t>
  </si>
  <si>
    <t>მისამრთიანი მართვის პანელი ინტეგრირებული აკუმულიატორით, ლედ ეკრანით, სრული კომპლექტაციით</t>
  </si>
  <si>
    <t>კრეფსითი</t>
  </si>
  <si>
    <t xml:space="preserve">ქ. თბილისი, შანდორ პეტოფის №36, პოლიკლინიკის მოწყობის სარეკონსტრუქციო სამუშაოების  ხარჯთაღრიცხვა   </t>
  </si>
  <si>
    <t xml:space="preserve">გეგმიური დაგროვება  </t>
  </si>
  <si>
    <t>გათბობა/გაგრილება/ვენტილაცია</t>
  </si>
  <si>
    <r>
      <t xml:space="preserve">ჭერის ბაქტერიციდული გამომსხივებელი 1070×160×1155   </t>
    </r>
    <r>
      <rPr>
        <b/>
        <sz val="10"/>
        <rFont val="Sylfaen"/>
        <family val="1"/>
      </rPr>
      <t>S 07</t>
    </r>
  </si>
  <si>
    <t>წყალგაყვანილობა</t>
  </si>
  <si>
    <t>ფასონური დეტალები</t>
  </si>
  <si>
    <t>წყალარინება</t>
  </si>
  <si>
    <t>პლასტმასის დ50 მმ კანალიზაციის მილის მონტაჟი</t>
  </si>
  <si>
    <t>პლასტმასის დ 100 მმ კანალიზაციის მილის მონტაჟი</t>
  </si>
  <si>
    <t xml:space="preserve">უნიტაზი ჩამრეცხი ავზით </t>
  </si>
  <si>
    <t>ტრაპი    დ50მმ</t>
  </si>
  <si>
    <t>გათბობა-გაგრილება-ვენტილაცია</t>
  </si>
  <si>
    <t>სპილენძის მილების ფასონური ნაწილები, სამაგრები და დამხმარე მასალები სპილენძის მილების ღირებულების 30%</t>
  </si>
  <si>
    <t>კონდესატსადინარი პოლიპროპინენის მილი ø32</t>
  </si>
  <si>
    <t>მილების ფასონური ნაწილები, სამაგრები და დამხმარე მასალები მილების ღირებულების 30%</t>
  </si>
  <si>
    <t xml:space="preserve"> ვენტილაცია</t>
  </si>
  <si>
    <t>კვადრატული დიფუზორი 600x600, პლენუმბოქსით</t>
  </si>
  <si>
    <t>სპილენძის ძარღვიანი კაბელი 0.4კვ. კვეტ. (3X95+1X50)მმ კვ</t>
  </si>
  <si>
    <t>სპილენძის ძარღვიანი კაბელი  0.4კვ. კვეთ: (5X25)მმ კვ</t>
  </si>
  <si>
    <t>სპილენძის ძარღვიანი კაბელი  0.4კვ. კვეთ: (5X10)მმ კვ</t>
  </si>
  <si>
    <t>სპილენძის ძარღვიანი კაბელი  0.4კვ. კვეთ: (5X2.5)მმ კვ</t>
  </si>
  <si>
    <t>სადენების სამაგრი სკობები</t>
  </si>
  <si>
    <t>საიზოლაციო ლენტი</t>
  </si>
  <si>
    <t>შტეფსელური როზეტი დამიწების კონტაქტით,  ღია დაყ. 10ა, 230ვ  გეგმაზე წითელი</t>
  </si>
  <si>
    <t>შტეფსელური როზეტი დამიწების კონტაქტით,  დახურული დაყ. 10ა, 230ვ გეგმაზე ლურჯი</t>
  </si>
  <si>
    <t>ჩამრთველი ერთ  კლავიშიანი,  6ა  220ვ  კლავიშები, ჩარჩო საკომუტაციო მოწყობილობა</t>
  </si>
  <si>
    <t>ჩამრთველი ორ  კლავიშიანი,  10ა  220ვ  კლავიშები, ჩარჩო საკომუტაციო მოწყობილობა</t>
  </si>
  <si>
    <t>მაგიდაზე სამაგრი როზეტების  4 ბუდიანი ჩარჩო,  გათვალისწინებულია 1ც, ინტერნეტისთვის</t>
  </si>
  <si>
    <t>ამსტრონგის დიოდური ლედ სანათის შეძენა მონტაჟი, ლედპანელი 600*600მმ 6500k (ლედ/1*30ვ)</t>
  </si>
  <si>
    <t>დამიწების კონტურის მოწყობა სტანდარტის მიხედვით</t>
  </si>
  <si>
    <t xml:space="preserve">ავტომატი 1პ.10A  /ლეგრანდი/ </t>
  </si>
  <si>
    <t xml:space="preserve">ავტომატი 1პ.16A  /ლეგრანდი/ </t>
  </si>
  <si>
    <t xml:space="preserve">ავტომატი 1პ.25A  /ლეგრანდი/ </t>
  </si>
  <si>
    <t xml:space="preserve">ერთფაზა ავტომატური ამომრთველი 25ა,220ვ  დიფ. დაცვით </t>
  </si>
  <si>
    <t xml:space="preserve">ავტომატი 3პ.50   /ლეგრანდი/  </t>
  </si>
  <si>
    <t xml:space="preserve">ავტომატი 3პ.250A  /ლეგრანდი/ </t>
  </si>
  <si>
    <t>გამანაწილებელი კოლოფი  მომჭერების რიგით 2.5მმკვ</t>
  </si>
  <si>
    <t>დუბელშურუპი  6*35</t>
  </si>
  <si>
    <t xml:space="preserve"> LED სანათი დიოდური დაცვით   (1X12) vt, 220v,  IP 31 დაცვით შეკიდულ ჭერში ჩაფლული დ=17სმ</t>
  </si>
  <si>
    <t xml:space="preserve"> LED სანათი დიოდური დაცვით (1X12) vt, 220v,  IP 31 კედელზე მისამაგრებელი ბრის ტიპის</t>
  </si>
  <si>
    <t>d25-იანი გოფრე არა აალებადი</t>
  </si>
  <si>
    <t>0.4კვ  გამანაწილებელი კარადა  ავტ.  ამომრთ.  36  მოდ. ლითონის</t>
  </si>
  <si>
    <t>საკაბელო სამაგრი აბზინდი 25mm</t>
  </si>
  <si>
    <t xml:space="preserve">კედელში სამონტაჟო პლ.  კოლოფი </t>
  </si>
  <si>
    <t>ფოტოელემენტი მაგნიტური გამშვებით სარეკლამო აბრისათვის</t>
  </si>
  <si>
    <t>გ/მ</t>
  </si>
  <si>
    <t>ელ.სამონტაჟო სამუშაოები</t>
  </si>
  <si>
    <t xml:space="preserve">სპილენძის 3X2,5mm2 კაბელის  მონტაჟი </t>
  </si>
  <si>
    <t xml:space="preserve">სპილენძის 3X4mm2 კაბელის მონტაჟი </t>
  </si>
  <si>
    <t xml:space="preserve">სპილენძის 3X1,5mm2  კაბელის  მონტაჟი </t>
  </si>
  <si>
    <t>წერტ</t>
  </si>
  <si>
    <t>24 ადგილიანი ავტომატების პლასმასის ყუთის მონტაჟი (სხვა სამონტაჟო დამხმარე მასალების ჩათვლით)</t>
  </si>
  <si>
    <t xml:space="preserve">ავტომატი 3 პ.16  /ლეგრანდი/  </t>
  </si>
  <si>
    <t>საევაკუაციო მაჩვენებელი აკუმულატორით ,,EXIT"</t>
  </si>
  <si>
    <t>80*40მმ კაბელ-არხების მონტაჟი (გადაბმებით, მუხლებითა და ჩამკეტი ხუფებით)</t>
  </si>
  <si>
    <t>ლარ</t>
  </si>
  <si>
    <t xml:space="preserve">სხვა დამხმარე მასალები </t>
  </si>
  <si>
    <t xml:space="preserve">მულტი სპლიტ კონდიციონერის გარე ბლოკი სამონტაჟო კომპლექტით Qc=42000BTU, N=4.5kw </t>
  </si>
  <si>
    <t>კომპ.</t>
  </si>
  <si>
    <t>კასეტური ტიპის მულტი სპლიტ კონდიციონერის შიდა ბლოკი Qc=18000BTU,  მართვის პულტით და ავტომატიკით, სამონტაჟო კომპლექტით</t>
  </si>
  <si>
    <t>კასეტური ტიპის მულტი სპლიტ კონდიციონერის შიდა ბლოკი Qc=12000BTU,  მართვის პულტით და ავტომატიკით, სამონტაჟო კომპლექტით</t>
  </si>
  <si>
    <t>გრძ/მ</t>
  </si>
  <si>
    <t>საკომუნიკაციო ბლოკთაშორისი კაბელი 5*2.5</t>
  </si>
  <si>
    <t>სპლიტ კონდიციონერის გარე და შიდა ბლოკი სამონტაჟო კომპლექტით Qc=18000BTU, N=2.5kw  მართვის პულტით და ავტომატიკით</t>
  </si>
  <si>
    <t>სპილენძის მილი Ø12.7  10mm სისქის კაუჩულის იზოლაციით, სამგრით</t>
  </si>
  <si>
    <t>სპილენძის მილი Ø6.35  10mm სისქის კაუჩულის იზოლაციით, სამგრით</t>
  </si>
  <si>
    <t>არხული ტიპის ვენტილატორი L=5080m³/h 320pa</t>
  </si>
  <si>
    <t>არხული ტიპის ვენტილატორი L=3080m³/h 260pa</t>
  </si>
  <si>
    <t>არხული ტიპის ვენტილატორი L=1000m³/h 120pa</t>
  </si>
  <si>
    <t>არხული ტიპის ვენტილატორი L=200m³/h 80pa</t>
  </si>
  <si>
    <t xml:space="preserve">ჰაერის რეკუპერატორი მარგიქმედების 80% კოეფიციენტით L=5080m³/h </t>
  </si>
  <si>
    <t xml:space="preserve">ჰაერის რეკუპერატორი მარგიქმედების 80% კოეფიციენტით L=3080m³/h </t>
  </si>
  <si>
    <t>ჰაერსატარი მოთუთიებული ფურცლოვანი თუნუქის, თუნუქის სისქე 0.7 მმ</t>
  </si>
  <si>
    <t>ჰაერსატარი მოთუთიებული ფურცლოვანი თუნუქის, თუნუქის სისქე 0.5 მმ</t>
  </si>
  <si>
    <t>ჰაერსადენის თბოიზოლაცია 9მმ თვითწებვადი კაუჩუკი</t>
  </si>
  <si>
    <t>ჰაერსატარის სამონტაჟო დამხმარე მასალები, აირსატარების ღირებულების 20%</t>
  </si>
  <si>
    <t>რეგულირებადი გამწოვი მრგვალი დიფუზორი Ø125</t>
  </si>
  <si>
    <t>გარე ჟალუზი 800X500</t>
  </si>
  <si>
    <t>გარე ჟალუზი 200X200</t>
  </si>
  <si>
    <t>თბოიზოლირებული მოქნილი აირსატარი Ø250</t>
  </si>
  <si>
    <t>მოქნილი აირსატარი Ø250</t>
  </si>
  <si>
    <t>მოქნილი აირსატარი Ø125</t>
  </si>
  <si>
    <r>
      <t>მ</t>
    </r>
    <r>
      <rPr>
        <sz val="10"/>
        <color theme="1"/>
        <rFont val="Sylfaen"/>
        <family val="1"/>
      </rPr>
      <t>²</t>
    </r>
  </si>
  <si>
    <t>დამხმარე მასალები</t>
  </si>
  <si>
    <t xml:space="preserve">პლასტმასის სამაგრი კაბელის 25mm </t>
  </si>
  <si>
    <t>ხელსაბანი შემრევით, სრული კომპლექტი</t>
  </si>
  <si>
    <t>საშხაპე კაბინა ქვედით, შემრევი, საშხაპე, სრული კომპლექტაციით</t>
  </si>
  <si>
    <t xml:space="preserve">ფასონური დეტალები და დამხმარე მასალები  </t>
  </si>
  <si>
    <t>პოლიეთილენის ცივი წყლის მილის მონტაჟი SDR11 PN 16 Ø20</t>
  </si>
  <si>
    <t>პოლიეთილენის ცივი წყლის მილის მონტაჟი SDR11 PN 16 Ø 25</t>
  </si>
  <si>
    <t>პოლიეთილენის ცივი წყლის მილის მონტაჟი SDR11 PN 16 Ø 32</t>
  </si>
  <si>
    <t>პოლიეთილენის ცივი წყლის მილის მონტაჟი SDR11 PN 16 Ø 40</t>
  </si>
  <si>
    <t>პოლიეთილენის ცხელი წყლის მილი მინაბოჭკოვანი SDR11 PN 16 Ø20</t>
  </si>
  <si>
    <t>პოლიეთილენის ცხელი წყლის მილი მინაბოჭკოვანი SDR11 PN 16 Ø25</t>
  </si>
  <si>
    <t>პოლიეთილენის ცხელი წყლის მილი მინაბოჭკოვანი SDR11 PN 16 Ø 32</t>
  </si>
  <si>
    <t>შეასფუთი კაუჩუკის თბოიზოლაციის მილი</t>
  </si>
  <si>
    <t xml:space="preserve"> Ø20 მმ არკო ვენტილი გადამყვანით</t>
  </si>
  <si>
    <t>საწარმოო ნიჟარა  შემრევით</t>
  </si>
  <si>
    <t xml:space="preserve">საქვაბე </t>
  </si>
  <si>
    <r>
      <rPr>
        <b/>
        <sz val="10"/>
        <rFont val="Sylfaen"/>
        <family val="1"/>
      </rPr>
      <t xml:space="preserve">შშპ </t>
    </r>
    <r>
      <rPr>
        <sz val="10"/>
        <rFont val="Sylfaen"/>
        <family val="1"/>
      </rPr>
      <t>- სათვის  უნიტაზი ჩამრეცხი ავზით, ხელსაბანი შემრევით, ადაპტირების აქსესუარები , სრული კომპლექტაცია</t>
    </r>
  </si>
  <si>
    <t>ბოილერი 800ლ.  მისაერთებელი სრული კომპლექტით</t>
  </si>
  <si>
    <t>ორკონტურიანი გათბობის ქვაბი 40 კვ/ტ სრული კომპლექტაციით და ავტომატიკით, მისაერთებელი სრული კომპლექტით</t>
  </si>
  <si>
    <t>ტუმბო  ტუმბო 3 მ3/ს  H=18მმ , საერთებელი კომპლექტით</t>
  </si>
  <si>
    <t>აირგაყვანილობის და მისი დაერთების სამუშაოები</t>
  </si>
  <si>
    <t>წყალგაყვანილობისა და საქვაბის გაშების ტესტირება/დაპრესვა/ გამოცდის სამუშაოები რეპოტით დადასტურებული</t>
  </si>
  <si>
    <t>გარე სახანძრო კიბე, ბაქანი და ნაგებობა</t>
  </si>
  <si>
    <t>საქვაბის ნაგებობის მონტაჟი</t>
  </si>
  <si>
    <t>სახურავი თუნუქის პროფ.ფენილი</t>
  </si>
  <si>
    <t>მეტაპლასტმასის კედლები სენდვიჩ ფიფიტით და კარით</t>
  </si>
  <si>
    <t>მაფართოებელი ავზი 80 ლიტ.</t>
  </si>
  <si>
    <t>სხვა დამხმარე მასალა და შრომის დანახარჯები</t>
  </si>
  <si>
    <t>სახარჯთაღრიცხვო  ღირ-ბა    ლარი</t>
  </si>
  <si>
    <t xml:space="preserve"> სახარჯთაღრიცხვო  ღირ-ბა    ლარი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</si>
</sst>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sz val="8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0"/>
      <name val="Sylfaen"/>
      <family val="1"/>
    </font>
    <font>
      <sz val="9"/>
      <color theme="1"/>
      <name val="Sylfaen"/>
      <family val="1"/>
    </font>
    <font>
      <sz val="9"/>
      <color theme="1"/>
      <name val="Cambria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</font>
    <font>
      <b/>
      <sz val="9"/>
      <color theme="1"/>
      <name val="Sylfaen"/>
      <family val="1"/>
    </font>
    <font>
      <i/>
      <sz val="10"/>
      <color theme="1"/>
      <name val="Sylfaen"/>
      <family val="1"/>
    </font>
    <font>
      <sz val="11"/>
      <color theme="1"/>
      <name val="Sylfaen"/>
      <family val="1"/>
    </font>
    <font>
      <sz val="11"/>
      <color theme="1"/>
      <name val="syllibri"/>
    </font>
    <font>
      <b/>
      <sz val="10"/>
      <name val="Sylfaen"/>
      <family val="1"/>
    </font>
    <font>
      <b/>
      <sz val="11"/>
      <color theme="3" tint="-0.249977111117893"/>
      <name val="Sylfaen"/>
      <family val="1"/>
    </font>
    <font>
      <b/>
      <sz val="12"/>
      <color theme="3" tint="-0.249977111117893"/>
      <name val="Sylfaen"/>
      <family val="1"/>
    </font>
    <font>
      <sz val="11"/>
      <color theme="3" tint="-0.249977111117893"/>
      <name val="Sylfaen"/>
      <family val="1"/>
    </font>
    <font>
      <b/>
      <sz val="14"/>
      <color theme="3" tint="-0.249977111117893"/>
      <name val="Sylfae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5" fillId="0" borderId="0" applyFont="0" applyFill="0" applyBorder="0" applyAlignment="0" applyProtection="0"/>
    <xf numFmtId="0" fontId="26" fillId="0" borderId="0"/>
  </cellStyleXfs>
  <cellXfs count="1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/>
    <xf numFmtId="0" fontId="11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/>
    <xf numFmtId="0" fontId="11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0" fillId="2" borderId="0" xfId="0" applyFont="1" applyFill="1" applyAlignment="1">
      <alignment horizontal="left" vertical="center" wrapText="1"/>
    </xf>
    <xf numFmtId="0" fontId="6" fillId="0" borderId="0" xfId="0" applyFont="1"/>
    <xf numFmtId="0" fontId="1" fillId="0" borderId="0" xfId="1" applyNumberFormat="1" applyFont="1"/>
    <xf numFmtId="2" fontId="11" fillId="2" borderId="1" xfId="0" applyNumberFormat="1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1" fontId="11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wrapText="1"/>
    </xf>
    <xf numFmtId="0" fontId="18" fillId="2" borderId="1" xfId="0" applyFont="1" applyFill="1" applyBorder="1" applyAlignment="1">
      <alignment vertical="center" wrapText="1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2" fontId="11" fillId="2" borderId="1" xfId="0" applyNumberFormat="1" applyFont="1" applyFill="1" applyBorder="1" applyAlignment="1">
      <alignment wrapText="1"/>
    </xf>
    <xf numFmtId="9" fontId="11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2" fontId="11" fillId="0" borderId="1" xfId="0" applyNumberFormat="1" applyFont="1" applyBorder="1" applyAlignment="1">
      <alignment horizontal="center" wrapText="1"/>
    </xf>
    <xf numFmtId="2" fontId="11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wrapText="1"/>
    </xf>
    <xf numFmtId="2" fontId="11" fillId="0" borderId="4" xfId="0" applyNumberFormat="1" applyFont="1" applyBorder="1" applyAlignment="1">
      <alignment wrapText="1"/>
    </xf>
    <xf numFmtId="2" fontId="11" fillId="0" borderId="4" xfId="0" applyNumberFormat="1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9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/>
    <xf numFmtId="2" fontId="11" fillId="0" borderId="4" xfId="0" applyNumberFormat="1" applyFont="1" applyBorder="1" applyAlignment="1">
      <alignment horizontal="center"/>
    </xf>
    <xf numFmtId="0" fontId="11" fillId="0" borderId="1" xfId="0" applyFont="1" applyBorder="1"/>
    <xf numFmtId="2" fontId="10" fillId="0" borderId="1" xfId="0" applyNumberFormat="1" applyFont="1" applyBorder="1" applyAlignment="1">
      <alignment horizontal="center"/>
    </xf>
    <xf numFmtId="0" fontId="20" fillId="0" borderId="0" xfId="0" applyFont="1"/>
    <xf numFmtId="0" fontId="19" fillId="0" borderId="0" xfId="0" applyFont="1"/>
    <xf numFmtId="0" fontId="11" fillId="2" borderId="1" xfId="0" applyFont="1" applyFill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 applyProtection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  <protection hidden="1"/>
    </xf>
    <xf numFmtId="0" fontId="12" fillId="2" borderId="5" xfId="0" applyFont="1" applyFill="1" applyBorder="1" applyAlignment="1" applyProtection="1">
      <alignment horizontal="left" vertical="center" wrapText="1"/>
      <protection hidden="1"/>
    </xf>
    <xf numFmtId="2" fontId="12" fillId="2" borderId="1" xfId="0" applyNumberFormat="1" applyFont="1" applyFill="1" applyBorder="1" applyAlignment="1" applyProtection="1">
      <alignment horizontal="left" vertical="center" wrapText="1"/>
    </xf>
    <xf numFmtId="2" fontId="11" fillId="2" borderId="1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>
      <alignment vertical="center" wrapText="1"/>
    </xf>
    <xf numFmtId="49" fontId="18" fillId="0" borderId="1" xfId="0" applyNumberFormat="1" applyFont="1" applyBorder="1" applyAlignment="1">
      <alignment vertical="center" wrapText="1"/>
    </xf>
    <xf numFmtId="49" fontId="18" fillId="2" borderId="1" xfId="0" applyNumberFormat="1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49" fontId="18" fillId="0" borderId="4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wrapText="1"/>
    </xf>
    <xf numFmtId="3" fontId="12" fillId="2" borderId="1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>
      <alignment horizontal="center" vertical="center"/>
    </xf>
    <xf numFmtId="2" fontId="11" fillId="2" borderId="0" xfId="0" applyNumberFormat="1" applyFont="1" applyFill="1" applyBorder="1" applyAlignment="1" applyProtection="1">
      <alignment horizontal="center" vertical="center" wrapText="1"/>
    </xf>
    <xf numFmtId="3" fontId="12" fillId="2" borderId="0" xfId="0" applyNumberFormat="1" applyFont="1" applyFill="1" applyBorder="1" applyAlignment="1" applyProtection="1">
      <alignment horizontal="center" vertical="center"/>
      <protection hidden="1"/>
    </xf>
    <xf numFmtId="164" fontId="11" fillId="2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" fontId="21" fillId="4" borderId="0" xfId="0" applyNumberFormat="1" applyFont="1" applyFill="1" applyBorder="1" applyAlignment="1" applyProtection="1">
      <alignment horizontal="left" vertical="center" wrapText="1"/>
    </xf>
    <xf numFmtId="2" fontId="22" fillId="0" borderId="1" xfId="0" applyNumberFormat="1" applyFont="1" applyBorder="1"/>
    <xf numFmtId="0" fontId="22" fillId="0" borderId="1" xfId="0" applyFont="1" applyBorder="1"/>
    <xf numFmtId="2" fontId="24" fillId="0" borderId="1" xfId="0" applyNumberFormat="1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0" fontId="22" fillId="0" borderId="1" xfId="0" applyFont="1" applyBorder="1" applyAlignment="1">
      <alignment horizontal="left" vertical="center"/>
    </xf>
    <xf numFmtId="2" fontId="25" fillId="0" borderId="1" xfId="0" applyNumberFormat="1" applyFont="1" applyBorder="1"/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2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wrapText="1"/>
    </xf>
    <xf numFmtId="0" fontId="24" fillId="0" borderId="0" xfId="0" applyFont="1" applyBorder="1" applyAlignment="1">
      <alignment horizontal="center"/>
    </xf>
    <xf numFmtId="0" fontId="24" fillId="0" borderId="0" xfId="0" applyFont="1" applyBorder="1"/>
    <xf numFmtId="0" fontId="11" fillId="0" borderId="0" xfId="0" applyFont="1" applyBorder="1" applyAlignment="1">
      <alignment horizontal="left"/>
    </xf>
    <xf numFmtId="0" fontId="22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2" fontId="12" fillId="2" borderId="0" xfId="0" applyNumberFormat="1" applyFont="1" applyFill="1" applyBorder="1" applyAlignment="1" applyProtection="1">
      <alignment horizontal="left" vertical="center" wrapText="1"/>
    </xf>
  </cellXfs>
  <cellStyles count="3">
    <cellStyle name="Normal" xfId="0" builtinId="0"/>
    <cellStyle name="Normal_E-237EstAPSmmm" xfId="2" xr:uid="{00000000-0005-0000-0000-000001000000}"/>
    <cellStyle name="Percent" xfId="1" builtinId="5"/>
  </cellStyles>
  <dxfs count="15">
    <dxf>
      <fill>
        <patternFill>
          <bgColor rgb="FFFFD7DC"/>
        </patternFill>
      </fill>
    </dxf>
    <dxf>
      <fill>
        <patternFill>
          <bgColor rgb="FFFFD7DC"/>
        </patternFill>
      </fill>
    </dxf>
    <dxf>
      <fill>
        <patternFill>
          <bgColor rgb="FFFFD7DC"/>
        </patternFill>
      </fill>
    </dxf>
    <dxf>
      <fill>
        <patternFill>
          <bgColor rgb="FFFFD7DC"/>
        </patternFill>
      </fill>
    </dxf>
    <dxf>
      <fill>
        <patternFill>
          <bgColor rgb="FFFFD7DC"/>
        </patternFill>
      </fill>
    </dxf>
    <dxf>
      <fill>
        <patternFill>
          <bgColor rgb="FFFFD7DC"/>
        </patternFill>
      </fill>
    </dxf>
    <dxf>
      <fill>
        <patternFill>
          <bgColor rgb="FFFFD7DC"/>
        </patternFill>
      </fill>
    </dxf>
    <dxf>
      <fill>
        <patternFill>
          <bgColor rgb="FFFFD7DC"/>
        </patternFill>
      </fill>
    </dxf>
    <dxf>
      <fill>
        <patternFill>
          <bgColor rgb="FFFFD7DC"/>
        </patternFill>
      </fill>
    </dxf>
    <dxf>
      <fill>
        <patternFill>
          <bgColor rgb="FFFFD7DC"/>
        </patternFill>
      </fill>
    </dxf>
    <dxf>
      <fill>
        <patternFill>
          <bgColor rgb="FFFFD7DC"/>
        </patternFill>
      </fill>
    </dxf>
    <dxf>
      <fill>
        <patternFill>
          <bgColor rgb="FFFFD7DC"/>
        </patternFill>
      </fill>
    </dxf>
    <dxf>
      <fill>
        <patternFill>
          <bgColor rgb="FFFFD7DC"/>
        </patternFill>
      </fill>
    </dxf>
    <dxf>
      <fill>
        <patternFill>
          <bgColor rgb="FFFFD7DC"/>
        </patternFill>
      </fill>
    </dxf>
    <dxf>
      <fill>
        <patternFill>
          <bgColor rgb="FFFFD7DC"/>
        </patternFill>
      </fill>
    </dxf>
  </dxfs>
  <tableStyles count="0" defaultTableStyle="TableStyleMedium9" defaultPivotStyle="PivotStyleLight16"/>
  <colors>
    <mruColors>
      <color rgb="FFBBE6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89999084444715716"/>
  </sheetPr>
  <dimension ref="A1:H19"/>
  <sheetViews>
    <sheetView tabSelected="1" workbookViewId="0">
      <selection activeCell="B7" sqref="B7"/>
    </sheetView>
  </sheetViews>
  <sheetFormatPr defaultRowHeight="15"/>
  <cols>
    <col min="1" max="1" width="4" customWidth="1"/>
    <col min="2" max="2" width="44.140625" customWidth="1"/>
    <col min="3" max="3" width="45.85546875" customWidth="1"/>
    <col min="4" max="4" width="11.85546875" customWidth="1"/>
  </cols>
  <sheetData>
    <row r="1" spans="1:4">
      <c r="B1" s="44"/>
    </row>
    <row r="2" spans="1:4">
      <c r="B2" s="44"/>
    </row>
    <row r="3" spans="1:4">
      <c r="B3" s="44"/>
    </row>
    <row r="4" spans="1:4" ht="45.75" customHeight="1">
      <c r="A4" s="141" t="s">
        <v>192</v>
      </c>
      <c r="B4" s="141"/>
      <c r="C4" s="141"/>
      <c r="D4" s="141"/>
    </row>
    <row r="5" spans="1:4" ht="22.5" customHeight="1">
      <c r="A5" s="142" t="s">
        <v>191</v>
      </c>
      <c r="B5" s="142"/>
      <c r="C5" s="142"/>
      <c r="D5" s="142"/>
    </row>
    <row r="6" spans="1:4" ht="15.75">
      <c r="A6" s="138"/>
      <c r="B6" s="140"/>
      <c r="C6" s="138"/>
      <c r="D6" s="139"/>
    </row>
    <row r="7" spans="1:4" ht="17.25" customHeight="1">
      <c r="A7" s="124">
        <v>1</v>
      </c>
      <c r="B7" s="126" t="s">
        <v>159</v>
      </c>
      <c r="C7" s="121">
        <f>სამშენებლო!J8</f>
        <v>0</v>
      </c>
      <c r="D7" s="125"/>
    </row>
    <row r="8" spans="1:4" ht="17.25" customHeight="1">
      <c r="A8" s="124">
        <v>2</v>
      </c>
      <c r="B8" s="126" t="s">
        <v>181</v>
      </c>
      <c r="C8" s="121">
        <f>'კომპ. დაქსელვა'!K32</f>
        <v>0</v>
      </c>
      <c r="D8" s="125"/>
    </row>
    <row r="9" spans="1:4" ht="17.25" customHeight="1">
      <c r="A9" s="124">
        <v>3</v>
      </c>
      <c r="B9" s="126" t="s">
        <v>166</v>
      </c>
      <c r="C9" s="121">
        <f>სახანძრო!K26</f>
        <v>0</v>
      </c>
      <c r="D9" s="125"/>
    </row>
    <row r="10" spans="1:4" ht="17.25" customHeight="1">
      <c r="A10" s="124">
        <v>4</v>
      </c>
      <c r="B10" s="126" t="s">
        <v>167</v>
      </c>
      <c r="C10" s="121">
        <f>სანტექნიკა!K46</f>
        <v>0</v>
      </c>
      <c r="D10" s="125"/>
    </row>
    <row r="11" spans="1:4" ht="17.25" customHeight="1">
      <c r="A11" s="124">
        <v>5</v>
      </c>
      <c r="B11" s="126" t="s">
        <v>182</v>
      </c>
      <c r="C11" s="121">
        <f>ელექტროობა!K54</f>
        <v>0</v>
      </c>
      <c r="D11" s="125"/>
    </row>
    <row r="12" spans="1:4" ht="17.25" customHeight="1">
      <c r="A12" s="124">
        <v>6</v>
      </c>
      <c r="B12" s="126" t="s">
        <v>194</v>
      </c>
      <c r="C12" s="121">
        <f>'გათბობა. გაგრილ. ვენტილაცია'!K47</f>
        <v>0</v>
      </c>
      <c r="D12" s="125"/>
    </row>
    <row r="13" spans="1:4" ht="17.25" customHeight="1">
      <c r="A13" s="125"/>
      <c r="B13" s="122"/>
      <c r="C13" s="123"/>
      <c r="D13" s="125"/>
    </row>
    <row r="14" spans="1:4" ht="17.25" customHeight="1">
      <c r="A14" s="125"/>
      <c r="B14" s="122" t="s">
        <v>180</v>
      </c>
      <c r="C14" s="127">
        <f>SUM(C7:C13)</f>
        <v>0</v>
      </c>
      <c r="D14" s="125"/>
    </row>
    <row r="15" spans="1:4">
      <c r="A15" s="91"/>
      <c r="B15" s="91"/>
      <c r="C15" s="91"/>
      <c r="D15" s="91"/>
    </row>
    <row r="16" spans="1:4">
      <c r="A16" s="91"/>
      <c r="B16" s="91"/>
      <c r="C16" s="91"/>
      <c r="D16" s="91"/>
    </row>
    <row r="17" spans="1:8">
      <c r="A17" s="91"/>
      <c r="B17" s="91"/>
      <c r="C17" s="91"/>
      <c r="D17" s="91"/>
    </row>
    <row r="18" spans="1:8">
      <c r="A18" s="90"/>
      <c r="B18" s="90"/>
      <c r="C18" s="90"/>
      <c r="D18" s="90"/>
      <c r="H18" s="91"/>
    </row>
    <row r="19" spans="1:8">
      <c r="A19" s="90"/>
      <c r="B19" s="90"/>
      <c r="C19" s="90"/>
      <c r="D19" s="90"/>
    </row>
  </sheetData>
  <mergeCells count="2">
    <mergeCell ref="A4:D4"/>
    <mergeCell ref="A5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</sheetPr>
  <dimension ref="A1:M175"/>
  <sheetViews>
    <sheetView zoomScale="55" zoomScaleNormal="100" workbookViewId="0">
      <selection activeCell="C9" sqref="C9:C10"/>
    </sheetView>
  </sheetViews>
  <sheetFormatPr defaultColWidth="9.140625" defaultRowHeight="15"/>
  <cols>
    <col min="1" max="1" width="3" style="3" customWidth="1"/>
    <col min="2" max="2" width="60.7109375" style="1" customWidth="1"/>
    <col min="3" max="3" width="5.85546875" style="2" customWidth="1"/>
    <col min="4" max="4" width="8.28515625" style="2" customWidth="1"/>
    <col min="5" max="5" width="7.42578125" style="2" customWidth="1"/>
    <col min="6" max="6" width="10" style="2" customWidth="1"/>
    <col min="7" max="7" width="7.28515625" style="2" customWidth="1"/>
    <col min="8" max="8" width="10.5703125" style="2" customWidth="1"/>
    <col min="9" max="9" width="6.5703125" style="2" customWidth="1"/>
    <col min="10" max="10" width="8.5703125" style="2" customWidth="1"/>
    <col min="11" max="11" width="12.5703125" style="2" customWidth="1"/>
    <col min="12" max="16384" width="9.140625" style="1"/>
  </cols>
  <sheetData>
    <row r="1" spans="1:13">
      <c r="B1" s="44"/>
    </row>
    <row r="2" spans="1:13">
      <c r="B2" s="44"/>
    </row>
    <row r="3" spans="1:13">
      <c r="B3" s="44"/>
    </row>
    <row r="5" spans="1:13" ht="19.5" customHeight="1">
      <c r="A5" s="143" t="s">
        <v>140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3" ht="18.75" customHeight="1">
      <c r="A6" s="155" t="s">
        <v>31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</row>
    <row r="7" spans="1:13" ht="18.75" customHeight="1">
      <c r="A7" s="143" t="s">
        <v>159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</row>
    <row r="8" spans="1:13" ht="18" customHeight="1">
      <c r="A8" s="12"/>
      <c r="B8" s="43"/>
      <c r="C8" s="146" t="s">
        <v>303</v>
      </c>
      <c r="D8" s="146"/>
      <c r="E8" s="146"/>
      <c r="F8" s="146"/>
      <c r="G8" s="146"/>
      <c r="H8" s="146"/>
      <c r="I8" s="146"/>
      <c r="J8" s="144">
        <f>K174</f>
        <v>0</v>
      </c>
      <c r="K8" s="145"/>
    </row>
    <row r="9" spans="1:13" s="3" customFormat="1" ht="33.75" customHeight="1">
      <c r="A9" s="147" t="s">
        <v>0</v>
      </c>
      <c r="B9" s="147" t="s">
        <v>1</v>
      </c>
      <c r="C9" s="147" t="s">
        <v>2</v>
      </c>
      <c r="D9" s="153" t="s">
        <v>3</v>
      </c>
      <c r="E9" s="149" t="s">
        <v>4</v>
      </c>
      <c r="F9" s="150"/>
      <c r="G9" s="149" t="s">
        <v>5</v>
      </c>
      <c r="H9" s="150"/>
      <c r="I9" s="151" t="s">
        <v>28</v>
      </c>
      <c r="J9" s="152"/>
      <c r="K9" s="147" t="s">
        <v>6</v>
      </c>
    </row>
    <row r="10" spans="1:13" s="4" customFormat="1" ht="23.25">
      <c r="A10" s="148"/>
      <c r="B10" s="148"/>
      <c r="C10" s="148"/>
      <c r="D10" s="154"/>
      <c r="E10" s="49" t="s">
        <v>7</v>
      </c>
      <c r="F10" s="50" t="s">
        <v>141</v>
      </c>
      <c r="G10" s="49" t="s">
        <v>7</v>
      </c>
      <c r="H10" s="50" t="s">
        <v>6</v>
      </c>
      <c r="I10" s="49" t="s">
        <v>7</v>
      </c>
      <c r="J10" s="50" t="s">
        <v>6</v>
      </c>
      <c r="K10" s="148"/>
    </row>
    <row r="11" spans="1:13" s="2" customFormat="1">
      <c r="A11" s="16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</row>
    <row r="12" spans="1:13" ht="19.5" customHeight="1">
      <c r="A12" s="6"/>
      <c r="B12" s="17" t="s">
        <v>19</v>
      </c>
      <c r="C12" s="51"/>
      <c r="D12" s="18"/>
      <c r="E12" s="18"/>
      <c r="F12" s="18"/>
      <c r="G12" s="18"/>
      <c r="H12" s="18"/>
      <c r="I12" s="18"/>
      <c r="J12" s="18"/>
      <c r="K12" s="18"/>
    </row>
    <row r="13" spans="1:13" ht="18.75" customHeight="1">
      <c r="A13" s="6">
        <v>1</v>
      </c>
      <c r="B13" s="25" t="s">
        <v>65</v>
      </c>
      <c r="C13" s="14" t="s">
        <v>54</v>
      </c>
      <c r="D13" s="20">
        <v>74</v>
      </c>
      <c r="E13" s="20"/>
      <c r="F13" s="20">
        <f t="shared" ref="F13:F82" si="0">E13*D13</f>
        <v>0</v>
      </c>
      <c r="G13" s="20">
        <v>0</v>
      </c>
      <c r="H13" s="20">
        <f>G13*D13</f>
        <v>0</v>
      </c>
      <c r="I13" s="20">
        <v>0</v>
      </c>
      <c r="J13" s="20">
        <f t="shared" ref="J13:J82" si="1">I13*D13</f>
        <v>0</v>
      </c>
      <c r="K13" s="20">
        <f t="shared" ref="K13:K76" si="2">J13+H13+F13</f>
        <v>0</v>
      </c>
      <c r="M13" s="45"/>
    </row>
    <row r="14" spans="1:13" ht="18.75" customHeight="1">
      <c r="A14" s="6">
        <v>2</v>
      </c>
      <c r="B14" s="25" t="s">
        <v>98</v>
      </c>
      <c r="C14" s="14" t="s">
        <v>54</v>
      </c>
      <c r="D14" s="20">
        <v>970</v>
      </c>
      <c r="E14" s="20"/>
      <c r="F14" s="20">
        <f t="shared" si="0"/>
        <v>0</v>
      </c>
      <c r="G14" s="20">
        <v>0</v>
      </c>
      <c r="H14" s="20">
        <f t="shared" ref="H14:H77" si="3">G14*D14</f>
        <v>0</v>
      </c>
      <c r="I14" s="20">
        <v>0</v>
      </c>
      <c r="J14" s="20">
        <f t="shared" si="1"/>
        <v>0</v>
      </c>
      <c r="K14" s="20">
        <f t="shared" si="2"/>
        <v>0</v>
      </c>
      <c r="M14" s="45"/>
    </row>
    <row r="15" spans="1:13" ht="33" customHeight="1">
      <c r="A15" s="6">
        <v>3</v>
      </c>
      <c r="B15" s="25" t="s">
        <v>47</v>
      </c>
      <c r="C15" s="14" t="s">
        <v>38</v>
      </c>
      <c r="D15" s="20">
        <v>110</v>
      </c>
      <c r="E15" s="20"/>
      <c r="F15" s="20">
        <f t="shared" si="0"/>
        <v>0</v>
      </c>
      <c r="G15" s="20">
        <v>0</v>
      </c>
      <c r="H15" s="20">
        <f t="shared" si="3"/>
        <v>0</v>
      </c>
      <c r="I15" s="20">
        <v>0</v>
      </c>
      <c r="J15" s="20">
        <f t="shared" si="1"/>
        <v>0</v>
      </c>
      <c r="K15" s="20">
        <f t="shared" si="2"/>
        <v>0</v>
      </c>
    </row>
    <row r="16" spans="1:13" ht="28.5" customHeight="1">
      <c r="A16" s="6">
        <v>4</v>
      </c>
      <c r="B16" s="25" t="s">
        <v>62</v>
      </c>
      <c r="C16" s="14" t="s">
        <v>54</v>
      </c>
      <c r="D16" s="20">
        <v>6.8</v>
      </c>
      <c r="E16" s="20"/>
      <c r="F16" s="20">
        <f t="shared" si="0"/>
        <v>0</v>
      </c>
      <c r="G16" s="20">
        <v>0</v>
      </c>
      <c r="H16" s="20">
        <f t="shared" si="3"/>
        <v>0</v>
      </c>
      <c r="I16" s="20">
        <v>0</v>
      </c>
      <c r="J16" s="20">
        <f t="shared" si="1"/>
        <v>0</v>
      </c>
      <c r="K16" s="20">
        <f t="shared" si="2"/>
        <v>0</v>
      </c>
    </row>
    <row r="17" spans="1:11" ht="18" customHeight="1">
      <c r="A17" s="6">
        <v>5</v>
      </c>
      <c r="B17" s="25" t="s">
        <v>61</v>
      </c>
      <c r="C17" s="14" t="s">
        <v>10</v>
      </c>
      <c r="D17" s="20">
        <v>25</v>
      </c>
      <c r="E17" s="20"/>
      <c r="F17" s="20">
        <f t="shared" si="0"/>
        <v>0</v>
      </c>
      <c r="G17" s="20">
        <v>0</v>
      </c>
      <c r="H17" s="20">
        <f t="shared" si="3"/>
        <v>0</v>
      </c>
      <c r="I17" s="20">
        <v>0</v>
      </c>
      <c r="J17" s="20">
        <f t="shared" si="1"/>
        <v>0</v>
      </c>
      <c r="K17" s="20">
        <f t="shared" si="2"/>
        <v>0</v>
      </c>
    </row>
    <row r="18" spans="1:11" ht="18.75" customHeight="1">
      <c r="A18" s="6">
        <v>6</v>
      </c>
      <c r="B18" s="25" t="s">
        <v>63</v>
      </c>
      <c r="C18" s="14" t="s">
        <v>54</v>
      </c>
      <c r="D18" s="20">
        <v>12</v>
      </c>
      <c r="E18" s="20"/>
      <c r="F18" s="20">
        <f t="shared" si="0"/>
        <v>0</v>
      </c>
      <c r="G18" s="20">
        <v>0</v>
      </c>
      <c r="H18" s="20">
        <f t="shared" si="3"/>
        <v>0</v>
      </c>
      <c r="I18" s="20">
        <v>0</v>
      </c>
      <c r="J18" s="20">
        <f t="shared" si="1"/>
        <v>0</v>
      </c>
      <c r="K18" s="20">
        <f t="shared" si="2"/>
        <v>0</v>
      </c>
    </row>
    <row r="19" spans="1:11" ht="31.5" customHeight="1">
      <c r="A19" s="6">
        <v>7</v>
      </c>
      <c r="B19" s="25" t="s">
        <v>64</v>
      </c>
      <c r="C19" s="14" t="s">
        <v>54</v>
      </c>
      <c r="D19" s="20">
        <v>24</v>
      </c>
      <c r="E19" s="20"/>
      <c r="F19" s="20">
        <f t="shared" si="0"/>
        <v>0</v>
      </c>
      <c r="G19" s="20">
        <v>0</v>
      </c>
      <c r="H19" s="20">
        <f t="shared" si="3"/>
        <v>0</v>
      </c>
      <c r="I19" s="20">
        <v>0</v>
      </c>
      <c r="J19" s="20">
        <f t="shared" si="1"/>
        <v>0</v>
      </c>
      <c r="K19" s="20">
        <f t="shared" si="2"/>
        <v>0</v>
      </c>
    </row>
    <row r="20" spans="1:11" ht="21" customHeight="1">
      <c r="A20" s="6">
        <v>8</v>
      </c>
      <c r="B20" s="25" t="s">
        <v>72</v>
      </c>
      <c r="C20" s="14" t="s">
        <v>54</v>
      </c>
      <c r="D20" s="20">
        <v>22</v>
      </c>
      <c r="E20" s="20"/>
      <c r="F20" s="20">
        <f t="shared" si="0"/>
        <v>0</v>
      </c>
      <c r="G20" s="20">
        <v>0</v>
      </c>
      <c r="H20" s="20">
        <f t="shared" si="3"/>
        <v>0</v>
      </c>
      <c r="I20" s="20">
        <v>0</v>
      </c>
      <c r="J20" s="20">
        <f t="shared" si="1"/>
        <v>0</v>
      </c>
      <c r="K20" s="20">
        <f t="shared" si="2"/>
        <v>0</v>
      </c>
    </row>
    <row r="21" spans="1:11" ht="21" customHeight="1">
      <c r="A21" s="6">
        <v>9</v>
      </c>
      <c r="B21" s="25" t="s">
        <v>108</v>
      </c>
      <c r="C21" s="14" t="s">
        <v>54</v>
      </c>
      <c r="D21" s="20">
        <f>2.7*19</f>
        <v>51.300000000000004</v>
      </c>
      <c r="E21" s="20"/>
      <c r="F21" s="20">
        <f t="shared" si="0"/>
        <v>0</v>
      </c>
      <c r="G21" s="20">
        <v>0</v>
      </c>
      <c r="H21" s="20">
        <f t="shared" si="3"/>
        <v>0</v>
      </c>
      <c r="I21" s="20">
        <v>0</v>
      </c>
      <c r="J21" s="20">
        <f t="shared" si="1"/>
        <v>0</v>
      </c>
      <c r="K21" s="20">
        <f t="shared" si="2"/>
        <v>0</v>
      </c>
    </row>
    <row r="22" spans="1:11" ht="18.75" customHeight="1">
      <c r="A22" s="6">
        <v>10</v>
      </c>
      <c r="B22" s="7" t="s">
        <v>48</v>
      </c>
      <c r="C22" s="14" t="s">
        <v>32</v>
      </c>
      <c r="D22" s="20">
        <f>D13*0.25+D15*0.005+10.3+D14*0.05+72*0.3</f>
        <v>99.449999999999989</v>
      </c>
      <c r="E22" s="6"/>
      <c r="F22" s="20">
        <f t="shared" si="0"/>
        <v>0</v>
      </c>
      <c r="G22" s="20">
        <v>0</v>
      </c>
      <c r="H22" s="20">
        <f t="shared" si="3"/>
        <v>0</v>
      </c>
      <c r="I22" s="20">
        <v>0</v>
      </c>
      <c r="J22" s="20">
        <f t="shared" si="1"/>
        <v>0</v>
      </c>
      <c r="K22" s="20">
        <f t="shared" si="2"/>
        <v>0</v>
      </c>
    </row>
    <row r="23" spans="1:11" ht="16.5" customHeight="1">
      <c r="A23" s="6">
        <v>11</v>
      </c>
      <c r="B23" s="7" t="s">
        <v>49</v>
      </c>
      <c r="C23" s="14" t="s">
        <v>41</v>
      </c>
      <c r="D23" s="20">
        <f>D22*1.6</f>
        <v>159.12</v>
      </c>
      <c r="E23" s="6"/>
      <c r="F23" s="20">
        <f t="shared" si="0"/>
        <v>0</v>
      </c>
      <c r="G23" s="20">
        <v>0</v>
      </c>
      <c r="H23" s="20">
        <f t="shared" si="3"/>
        <v>0</v>
      </c>
      <c r="I23" s="20">
        <v>0</v>
      </c>
      <c r="J23" s="20">
        <f t="shared" si="1"/>
        <v>0</v>
      </c>
      <c r="K23" s="20">
        <f t="shared" si="2"/>
        <v>0</v>
      </c>
    </row>
    <row r="24" spans="1:11">
      <c r="A24" s="6"/>
      <c r="B24" s="19" t="s">
        <v>25</v>
      </c>
      <c r="C24" s="14"/>
      <c r="D24" s="6"/>
      <c r="E24" s="6"/>
      <c r="F24" s="20">
        <f t="shared" si="0"/>
        <v>0</v>
      </c>
      <c r="G24" s="6"/>
      <c r="H24" s="20">
        <f t="shared" si="3"/>
        <v>0</v>
      </c>
      <c r="I24" s="6"/>
      <c r="J24" s="20">
        <f t="shared" si="1"/>
        <v>0</v>
      </c>
      <c r="K24" s="20">
        <f t="shared" si="2"/>
        <v>0</v>
      </c>
    </row>
    <row r="25" spans="1:11">
      <c r="A25" s="58"/>
      <c r="B25" s="65" t="s">
        <v>89</v>
      </c>
      <c r="C25" s="14"/>
      <c r="D25" s="6"/>
      <c r="E25" s="6"/>
      <c r="F25" s="20">
        <f t="shared" si="0"/>
        <v>0</v>
      </c>
      <c r="G25" s="6"/>
      <c r="H25" s="20">
        <f t="shared" si="3"/>
        <v>0</v>
      </c>
      <c r="I25" s="6"/>
      <c r="J25" s="20">
        <f t="shared" si="1"/>
        <v>0</v>
      </c>
      <c r="K25" s="20">
        <f t="shared" si="2"/>
        <v>0</v>
      </c>
    </row>
    <row r="26" spans="1:11">
      <c r="A26" s="21">
        <v>1</v>
      </c>
      <c r="B26" s="23" t="s">
        <v>99</v>
      </c>
      <c r="C26" s="39" t="s">
        <v>8</v>
      </c>
      <c r="D26" s="41">
        <v>970</v>
      </c>
      <c r="E26" s="41"/>
      <c r="F26" s="20">
        <f t="shared" si="0"/>
        <v>0</v>
      </c>
      <c r="G26" s="41">
        <v>0</v>
      </c>
      <c r="H26" s="20">
        <f t="shared" si="3"/>
        <v>0</v>
      </c>
      <c r="I26" s="41"/>
      <c r="J26" s="20">
        <f t="shared" si="1"/>
        <v>0</v>
      </c>
      <c r="K26" s="20">
        <f t="shared" si="2"/>
        <v>0</v>
      </c>
    </row>
    <row r="27" spans="1:11">
      <c r="A27" s="21"/>
      <c r="B27" s="27" t="s">
        <v>53</v>
      </c>
      <c r="C27" s="52" t="s">
        <v>32</v>
      </c>
      <c r="D27" s="41">
        <f>D26*0.07</f>
        <v>67.900000000000006</v>
      </c>
      <c r="E27" s="41">
        <v>0</v>
      </c>
      <c r="F27" s="20">
        <f t="shared" si="0"/>
        <v>0</v>
      </c>
      <c r="G27" s="41"/>
      <c r="H27" s="20">
        <f t="shared" si="3"/>
        <v>0</v>
      </c>
      <c r="I27" s="41">
        <v>0</v>
      </c>
      <c r="J27" s="20">
        <f t="shared" si="1"/>
        <v>0</v>
      </c>
      <c r="K27" s="20">
        <f t="shared" si="2"/>
        <v>0</v>
      </c>
    </row>
    <row r="28" spans="1:11">
      <c r="A28" s="21"/>
      <c r="B28" s="27" t="s">
        <v>50</v>
      </c>
      <c r="C28" s="52" t="s">
        <v>13</v>
      </c>
      <c r="D28" s="41">
        <f>D26*0.4</f>
        <v>388</v>
      </c>
      <c r="E28" s="41">
        <v>0</v>
      </c>
      <c r="F28" s="20">
        <f t="shared" si="0"/>
        <v>0</v>
      </c>
      <c r="G28" s="41"/>
      <c r="H28" s="20">
        <f t="shared" si="3"/>
        <v>0</v>
      </c>
      <c r="I28" s="41">
        <v>0</v>
      </c>
      <c r="J28" s="20">
        <f t="shared" si="1"/>
        <v>0</v>
      </c>
      <c r="K28" s="20">
        <f t="shared" si="2"/>
        <v>0</v>
      </c>
    </row>
    <row r="29" spans="1:11" ht="15.75">
      <c r="A29" s="21"/>
      <c r="B29" s="27" t="s">
        <v>52</v>
      </c>
      <c r="C29" s="47" t="s">
        <v>38</v>
      </c>
      <c r="D29" s="48">
        <f>D26*2</f>
        <v>1940</v>
      </c>
      <c r="E29" s="41">
        <v>0</v>
      </c>
      <c r="F29" s="20">
        <f t="shared" si="0"/>
        <v>0</v>
      </c>
      <c r="G29" s="46"/>
      <c r="H29" s="20">
        <f t="shared" si="3"/>
        <v>0</v>
      </c>
      <c r="I29" s="41">
        <v>0</v>
      </c>
      <c r="J29" s="20">
        <f t="shared" si="1"/>
        <v>0</v>
      </c>
      <c r="K29" s="20">
        <f t="shared" si="2"/>
        <v>0</v>
      </c>
    </row>
    <row r="30" spans="1:11">
      <c r="A30" s="21"/>
      <c r="B30" s="27" t="s">
        <v>51</v>
      </c>
      <c r="C30" s="39" t="s">
        <v>8</v>
      </c>
      <c r="D30" s="41">
        <f>D26</f>
        <v>970</v>
      </c>
      <c r="E30" s="41">
        <v>0</v>
      </c>
      <c r="F30" s="20">
        <f t="shared" si="0"/>
        <v>0</v>
      </c>
      <c r="G30" s="41"/>
      <c r="H30" s="20">
        <f t="shared" si="3"/>
        <v>0</v>
      </c>
      <c r="I30" s="41">
        <v>0</v>
      </c>
      <c r="J30" s="20">
        <f t="shared" si="1"/>
        <v>0</v>
      </c>
      <c r="K30" s="20">
        <f t="shared" si="2"/>
        <v>0</v>
      </c>
    </row>
    <row r="31" spans="1:11" ht="18" customHeight="1">
      <c r="A31" s="21"/>
      <c r="B31" s="27" t="s">
        <v>11</v>
      </c>
      <c r="C31" s="52" t="s">
        <v>12</v>
      </c>
      <c r="D31" s="46">
        <f>D26*0.04</f>
        <v>38.800000000000004</v>
      </c>
      <c r="E31" s="41">
        <v>0</v>
      </c>
      <c r="F31" s="20">
        <f t="shared" si="0"/>
        <v>0</v>
      </c>
      <c r="G31" s="46"/>
      <c r="H31" s="20">
        <f t="shared" si="3"/>
        <v>0</v>
      </c>
      <c r="I31" s="41">
        <v>0</v>
      </c>
      <c r="J31" s="20">
        <f t="shared" si="1"/>
        <v>0</v>
      </c>
      <c r="K31" s="20">
        <f t="shared" si="2"/>
        <v>0</v>
      </c>
    </row>
    <row r="32" spans="1:11" ht="18" customHeight="1">
      <c r="A32" s="56">
        <v>2</v>
      </c>
      <c r="B32" s="23" t="s">
        <v>46</v>
      </c>
      <c r="C32" s="28" t="s">
        <v>8</v>
      </c>
      <c r="D32" s="29">
        <v>24</v>
      </c>
      <c r="E32" s="29"/>
      <c r="F32" s="20">
        <f t="shared" si="0"/>
        <v>0</v>
      </c>
      <c r="G32" s="29">
        <v>0</v>
      </c>
      <c r="H32" s="20">
        <f t="shared" si="3"/>
        <v>0</v>
      </c>
      <c r="I32" s="29"/>
      <c r="J32" s="20">
        <f t="shared" si="1"/>
        <v>0</v>
      </c>
      <c r="K32" s="20">
        <f t="shared" si="2"/>
        <v>0</v>
      </c>
    </row>
    <row r="33" spans="1:11" ht="18" customHeight="1">
      <c r="A33" s="56"/>
      <c r="B33" s="30" t="s">
        <v>34</v>
      </c>
      <c r="C33" s="28" t="s">
        <v>13</v>
      </c>
      <c r="D33" s="29">
        <f>D32*5</f>
        <v>120</v>
      </c>
      <c r="E33" s="29">
        <v>0</v>
      </c>
      <c r="F33" s="20">
        <f t="shared" si="0"/>
        <v>0</v>
      </c>
      <c r="G33" s="29"/>
      <c r="H33" s="20">
        <f t="shared" si="3"/>
        <v>0</v>
      </c>
      <c r="I33" s="29">
        <v>0</v>
      </c>
      <c r="J33" s="20">
        <f t="shared" si="1"/>
        <v>0</v>
      </c>
      <c r="K33" s="20">
        <f t="shared" si="2"/>
        <v>0</v>
      </c>
    </row>
    <row r="34" spans="1:11" ht="18" customHeight="1">
      <c r="A34" s="56"/>
      <c r="B34" s="24" t="s">
        <v>59</v>
      </c>
      <c r="C34" s="28" t="s">
        <v>13</v>
      </c>
      <c r="D34" s="29">
        <f>D32*0.18</f>
        <v>4.32</v>
      </c>
      <c r="E34" s="29">
        <v>0</v>
      </c>
      <c r="F34" s="20">
        <f t="shared" si="0"/>
        <v>0</v>
      </c>
      <c r="G34" s="29"/>
      <c r="H34" s="20">
        <f t="shared" si="3"/>
        <v>0</v>
      </c>
      <c r="I34" s="29">
        <v>0</v>
      </c>
      <c r="J34" s="20">
        <f t="shared" si="1"/>
        <v>0</v>
      </c>
      <c r="K34" s="20">
        <f t="shared" si="2"/>
        <v>0</v>
      </c>
    </row>
    <row r="35" spans="1:11" ht="18" customHeight="1">
      <c r="A35" s="56"/>
      <c r="B35" s="31" t="s">
        <v>11</v>
      </c>
      <c r="C35" s="28" t="s">
        <v>12</v>
      </c>
      <c r="D35" s="29">
        <f>D32*0.08</f>
        <v>1.92</v>
      </c>
      <c r="E35" s="29">
        <v>0</v>
      </c>
      <c r="F35" s="20">
        <f t="shared" si="0"/>
        <v>0</v>
      </c>
      <c r="G35" s="29"/>
      <c r="H35" s="20">
        <f t="shared" si="3"/>
        <v>0</v>
      </c>
      <c r="I35" s="29"/>
      <c r="J35" s="20">
        <f t="shared" si="1"/>
        <v>0</v>
      </c>
      <c r="K35" s="20">
        <f t="shared" si="2"/>
        <v>0</v>
      </c>
    </row>
    <row r="36" spans="1:11" ht="18" customHeight="1">
      <c r="A36" s="56">
        <v>3</v>
      </c>
      <c r="B36" s="22" t="s">
        <v>128</v>
      </c>
      <c r="C36" s="28" t="s">
        <v>8</v>
      </c>
      <c r="D36" s="29">
        <v>24</v>
      </c>
      <c r="E36" s="29"/>
      <c r="F36" s="20">
        <f t="shared" si="0"/>
        <v>0</v>
      </c>
      <c r="G36" s="29">
        <v>0</v>
      </c>
      <c r="H36" s="20">
        <f t="shared" si="3"/>
        <v>0</v>
      </c>
      <c r="I36" s="29"/>
      <c r="J36" s="20">
        <f t="shared" si="1"/>
        <v>0</v>
      </c>
      <c r="K36" s="20">
        <f t="shared" si="2"/>
        <v>0</v>
      </c>
    </row>
    <row r="37" spans="1:11" ht="18" customHeight="1">
      <c r="A37" s="56">
        <v>4</v>
      </c>
      <c r="B37" s="22" t="s">
        <v>129</v>
      </c>
      <c r="C37" s="28" t="s">
        <v>10</v>
      </c>
      <c r="D37" s="29">
        <v>20</v>
      </c>
      <c r="E37" s="29"/>
      <c r="F37" s="20">
        <f t="shared" si="0"/>
        <v>0</v>
      </c>
      <c r="G37" s="29">
        <v>0</v>
      </c>
      <c r="H37" s="20">
        <f t="shared" si="3"/>
        <v>0</v>
      </c>
      <c r="I37" s="29"/>
      <c r="J37" s="20">
        <f t="shared" si="1"/>
        <v>0</v>
      </c>
      <c r="K37" s="20">
        <f t="shared" si="2"/>
        <v>0</v>
      </c>
    </row>
    <row r="38" spans="1:11" ht="18" customHeight="1">
      <c r="A38" s="56"/>
      <c r="B38" s="24" t="s">
        <v>130</v>
      </c>
      <c r="C38" s="28" t="s">
        <v>8</v>
      </c>
      <c r="D38" s="29">
        <f>24*1.05+24*0.1</f>
        <v>27.6</v>
      </c>
      <c r="E38" s="29">
        <v>0</v>
      </c>
      <c r="F38" s="20">
        <f t="shared" si="0"/>
        <v>0</v>
      </c>
      <c r="G38" s="29"/>
      <c r="H38" s="20">
        <f t="shared" si="3"/>
        <v>0</v>
      </c>
      <c r="I38" s="29">
        <v>0</v>
      </c>
      <c r="J38" s="20">
        <f t="shared" si="1"/>
        <v>0</v>
      </c>
      <c r="K38" s="20">
        <f t="shared" si="2"/>
        <v>0</v>
      </c>
    </row>
    <row r="39" spans="1:11" ht="18" customHeight="1">
      <c r="A39" s="56"/>
      <c r="B39" s="32" t="s">
        <v>131</v>
      </c>
      <c r="C39" s="28" t="s">
        <v>10</v>
      </c>
      <c r="D39" s="29">
        <f>D36*2</f>
        <v>48</v>
      </c>
      <c r="E39" s="29">
        <v>0</v>
      </c>
      <c r="F39" s="20">
        <f t="shared" si="0"/>
        <v>0</v>
      </c>
      <c r="G39" s="33"/>
      <c r="H39" s="20">
        <f t="shared" si="3"/>
        <v>0</v>
      </c>
      <c r="I39" s="29">
        <v>0</v>
      </c>
      <c r="J39" s="20">
        <f t="shared" si="1"/>
        <v>0</v>
      </c>
      <c r="K39" s="20">
        <f t="shared" si="2"/>
        <v>0</v>
      </c>
    </row>
    <row r="40" spans="1:11" ht="18" customHeight="1">
      <c r="A40" s="56"/>
      <c r="B40" s="24" t="s">
        <v>132</v>
      </c>
      <c r="C40" s="28" t="s">
        <v>13</v>
      </c>
      <c r="D40" s="29">
        <f>D36*0.4</f>
        <v>9.6000000000000014</v>
      </c>
      <c r="E40" s="29">
        <v>0</v>
      </c>
      <c r="F40" s="20">
        <f t="shared" si="0"/>
        <v>0</v>
      </c>
      <c r="G40" s="29"/>
      <c r="H40" s="20">
        <f t="shared" si="3"/>
        <v>0</v>
      </c>
      <c r="I40" s="29">
        <v>0</v>
      </c>
      <c r="J40" s="20">
        <f t="shared" si="1"/>
        <v>0</v>
      </c>
      <c r="K40" s="20">
        <f t="shared" si="2"/>
        <v>0</v>
      </c>
    </row>
    <row r="41" spans="1:11" ht="18" customHeight="1">
      <c r="A41" s="56"/>
      <c r="B41" s="24" t="s">
        <v>133</v>
      </c>
      <c r="C41" s="28" t="s">
        <v>13</v>
      </c>
      <c r="D41" s="29">
        <f>D37*0.1</f>
        <v>2</v>
      </c>
      <c r="E41" s="29">
        <v>0</v>
      </c>
      <c r="F41" s="20">
        <f t="shared" si="0"/>
        <v>0</v>
      </c>
      <c r="G41" s="29"/>
      <c r="H41" s="20">
        <f t="shared" si="3"/>
        <v>0</v>
      </c>
      <c r="I41" s="29">
        <v>0</v>
      </c>
      <c r="J41" s="20">
        <f t="shared" si="1"/>
        <v>0</v>
      </c>
      <c r="K41" s="20">
        <f t="shared" si="2"/>
        <v>0</v>
      </c>
    </row>
    <row r="42" spans="1:11" ht="18" customHeight="1">
      <c r="A42" s="56"/>
      <c r="B42" s="24" t="s">
        <v>134</v>
      </c>
      <c r="C42" s="28" t="s">
        <v>13</v>
      </c>
      <c r="D42" s="29">
        <f>D38*0.35</f>
        <v>9.66</v>
      </c>
      <c r="E42" s="29">
        <v>0</v>
      </c>
      <c r="F42" s="20">
        <f t="shared" si="0"/>
        <v>0</v>
      </c>
      <c r="G42" s="29"/>
      <c r="H42" s="20">
        <f t="shared" si="3"/>
        <v>0</v>
      </c>
      <c r="I42" s="29">
        <v>0</v>
      </c>
      <c r="J42" s="20">
        <f t="shared" si="1"/>
        <v>0</v>
      </c>
      <c r="K42" s="20">
        <f t="shared" si="2"/>
        <v>0</v>
      </c>
    </row>
    <row r="43" spans="1:11" ht="18" customHeight="1">
      <c r="A43" s="56"/>
      <c r="B43" s="31" t="s">
        <v>11</v>
      </c>
      <c r="C43" s="28" t="s">
        <v>12</v>
      </c>
      <c r="D43" s="29">
        <f>D38*0.08</f>
        <v>2.2080000000000002</v>
      </c>
      <c r="E43" s="29">
        <v>0</v>
      </c>
      <c r="F43" s="20">
        <f t="shared" si="0"/>
        <v>0</v>
      </c>
      <c r="G43" s="29"/>
      <c r="H43" s="20">
        <f t="shared" si="3"/>
        <v>0</v>
      </c>
      <c r="I43" s="29"/>
      <c r="J43" s="20">
        <f t="shared" si="1"/>
        <v>0</v>
      </c>
      <c r="K43" s="20">
        <f t="shared" si="2"/>
        <v>0</v>
      </c>
    </row>
    <row r="44" spans="1:11" ht="18" customHeight="1">
      <c r="A44" s="56">
        <v>5</v>
      </c>
      <c r="B44" s="22" t="s">
        <v>124</v>
      </c>
      <c r="C44" s="28" t="s">
        <v>8</v>
      </c>
      <c r="D44" s="29">
        <v>594</v>
      </c>
      <c r="E44" s="29"/>
      <c r="F44" s="20">
        <f t="shared" si="0"/>
        <v>0</v>
      </c>
      <c r="G44" s="29">
        <v>0</v>
      </c>
      <c r="H44" s="20">
        <f t="shared" si="3"/>
        <v>0</v>
      </c>
      <c r="I44" s="29"/>
      <c r="J44" s="20">
        <f t="shared" si="1"/>
        <v>0</v>
      </c>
      <c r="K44" s="20">
        <f t="shared" si="2"/>
        <v>0</v>
      </c>
    </row>
    <row r="45" spans="1:11" ht="18" customHeight="1">
      <c r="A45" s="56"/>
      <c r="B45" s="24" t="s">
        <v>126</v>
      </c>
      <c r="C45" s="28" t="s">
        <v>8</v>
      </c>
      <c r="D45" s="29">
        <f>D44*1.05</f>
        <v>623.70000000000005</v>
      </c>
      <c r="E45" s="29">
        <v>0</v>
      </c>
      <c r="F45" s="20">
        <f t="shared" si="0"/>
        <v>0</v>
      </c>
      <c r="G45" s="29"/>
      <c r="H45" s="20">
        <f t="shared" si="3"/>
        <v>0</v>
      </c>
      <c r="I45" s="29">
        <v>0</v>
      </c>
      <c r="J45" s="20">
        <f t="shared" si="1"/>
        <v>0</v>
      </c>
      <c r="K45" s="20">
        <f t="shared" si="2"/>
        <v>0</v>
      </c>
    </row>
    <row r="46" spans="1:11" ht="29.25" customHeight="1">
      <c r="A46" s="56"/>
      <c r="B46" s="27" t="s">
        <v>125</v>
      </c>
      <c r="C46" s="28" t="s">
        <v>8</v>
      </c>
      <c r="D46" s="29">
        <f>D44</f>
        <v>594</v>
      </c>
      <c r="E46" s="29">
        <v>0</v>
      </c>
      <c r="F46" s="20">
        <f t="shared" si="0"/>
        <v>0</v>
      </c>
      <c r="G46" s="29"/>
      <c r="H46" s="20">
        <f t="shared" si="3"/>
        <v>0</v>
      </c>
      <c r="I46" s="29">
        <v>0</v>
      </c>
      <c r="J46" s="20">
        <f t="shared" si="1"/>
        <v>0</v>
      </c>
      <c r="K46" s="20">
        <f t="shared" si="2"/>
        <v>0</v>
      </c>
    </row>
    <row r="47" spans="1:11" ht="18" customHeight="1">
      <c r="A47" s="56"/>
      <c r="B47" s="32" t="s">
        <v>139</v>
      </c>
      <c r="C47" s="28" t="s">
        <v>10</v>
      </c>
      <c r="D47" s="29">
        <v>635</v>
      </c>
      <c r="E47" s="29">
        <v>0</v>
      </c>
      <c r="F47" s="20">
        <f t="shared" si="0"/>
        <v>0</v>
      </c>
      <c r="G47" s="33"/>
      <c r="H47" s="20">
        <f t="shared" si="3"/>
        <v>0</v>
      </c>
      <c r="I47" s="29">
        <v>0</v>
      </c>
      <c r="J47" s="20">
        <f t="shared" si="1"/>
        <v>0</v>
      </c>
      <c r="K47" s="20">
        <f t="shared" si="2"/>
        <v>0</v>
      </c>
    </row>
    <row r="48" spans="1:11" ht="18" customHeight="1">
      <c r="A48" s="56"/>
      <c r="B48" s="30" t="s">
        <v>34</v>
      </c>
      <c r="C48" s="28" t="s">
        <v>13</v>
      </c>
      <c r="D48" s="29">
        <f>D44*1.67</f>
        <v>991.9799999999999</v>
      </c>
      <c r="E48" s="29">
        <v>0</v>
      </c>
      <c r="F48" s="20">
        <f t="shared" si="0"/>
        <v>0</v>
      </c>
      <c r="G48" s="29"/>
      <c r="H48" s="20">
        <f t="shared" si="3"/>
        <v>0</v>
      </c>
      <c r="I48" s="29">
        <v>0</v>
      </c>
      <c r="J48" s="20">
        <f t="shared" si="1"/>
        <v>0</v>
      </c>
      <c r="K48" s="20">
        <f t="shared" si="2"/>
        <v>0</v>
      </c>
    </row>
    <row r="49" spans="1:11" ht="18" customHeight="1">
      <c r="A49" s="56"/>
      <c r="B49" s="31" t="s">
        <v>127</v>
      </c>
      <c r="C49" s="28" t="s">
        <v>12</v>
      </c>
      <c r="D49" s="29">
        <f>D44*0.05</f>
        <v>29.700000000000003</v>
      </c>
      <c r="E49" s="29">
        <v>0</v>
      </c>
      <c r="F49" s="20">
        <f t="shared" si="0"/>
        <v>0</v>
      </c>
      <c r="G49" s="29"/>
      <c r="H49" s="20">
        <f t="shared" si="3"/>
        <v>0</v>
      </c>
      <c r="I49" s="29"/>
      <c r="J49" s="20">
        <f t="shared" si="1"/>
        <v>0</v>
      </c>
      <c r="K49" s="20">
        <f t="shared" si="2"/>
        <v>0</v>
      </c>
    </row>
    <row r="50" spans="1:11" ht="21" customHeight="1">
      <c r="A50" s="21">
        <v>6</v>
      </c>
      <c r="B50" s="23" t="s">
        <v>55</v>
      </c>
      <c r="C50" s="28" t="s">
        <v>8</v>
      </c>
      <c r="D50" s="29">
        <f>178+207+188+131+148</f>
        <v>852</v>
      </c>
      <c r="E50" s="29"/>
      <c r="F50" s="20">
        <f t="shared" si="0"/>
        <v>0</v>
      </c>
      <c r="G50" s="29">
        <v>0</v>
      </c>
      <c r="H50" s="20">
        <f t="shared" si="3"/>
        <v>0</v>
      </c>
      <c r="I50" s="29"/>
      <c r="J50" s="20">
        <f t="shared" si="1"/>
        <v>0</v>
      </c>
      <c r="K50" s="20">
        <f t="shared" si="2"/>
        <v>0</v>
      </c>
    </row>
    <row r="51" spans="1:11" ht="21" customHeight="1">
      <c r="A51" s="21">
        <v>7</v>
      </c>
      <c r="B51" s="23" t="s">
        <v>56</v>
      </c>
      <c r="C51" s="28" t="s">
        <v>10</v>
      </c>
      <c r="D51" s="29">
        <f>146+105+153+171+100</f>
        <v>675</v>
      </c>
      <c r="E51" s="29"/>
      <c r="F51" s="20">
        <f t="shared" si="0"/>
        <v>0</v>
      </c>
      <c r="G51" s="29">
        <v>0</v>
      </c>
      <c r="H51" s="20">
        <f t="shared" si="3"/>
        <v>0</v>
      </c>
      <c r="I51" s="29"/>
      <c r="J51" s="20">
        <f t="shared" si="1"/>
        <v>0</v>
      </c>
      <c r="K51" s="20">
        <f t="shared" si="2"/>
        <v>0</v>
      </c>
    </row>
    <row r="52" spans="1:11" ht="28.5" customHeight="1">
      <c r="A52" s="21"/>
      <c r="B52" s="27" t="s">
        <v>137</v>
      </c>
      <c r="C52" s="28" t="s">
        <v>8</v>
      </c>
      <c r="D52" s="40">
        <f>D50*1.03+D51*0.07</f>
        <v>924.81000000000006</v>
      </c>
      <c r="E52" s="29">
        <v>0</v>
      </c>
      <c r="F52" s="20">
        <f t="shared" si="0"/>
        <v>0</v>
      </c>
      <c r="G52" s="29"/>
      <c r="H52" s="20">
        <f t="shared" si="3"/>
        <v>0</v>
      </c>
      <c r="I52" s="29">
        <v>0</v>
      </c>
      <c r="J52" s="20">
        <f t="shared" si="1"/>
        <v>0</v>
      </c>
      <c r="K52" s="20">
        <f t="shared" si="2"/>
        <v>0</v>
      </c>
    </row>
    <row r="53" spans="1:11" ht="16.5" customHeight="1">
      <c r="A53" s="21"/>
      <c r="B53" s="24" t="s">
        <v>26</v>
      </c>
      <c r="C53" s="28" t="s">
        <v>13</v>
      </c>
      <c r="D53" s="29">
        <f>D50*6+D51*0.4</f>
        <v>5382</v>
      </c>
      <c r="E53" s="29">
        <v>0</v>
      </c>
      <c r="F53" s="20">
        <f t="shared" si="0"/>
        <v>0</v>
      </c>
      <c r="G53" s="29"/>
      <c r="H53" s="20">
        <f t="shared" si="3"/>
        <v>0</v>
      </c>
      <c r="I53" s="29">
        <v>0</v>
      </c>
      <c r="J53" s="20">
        <f t="shared" si="1"/>
        <v>0</v>
      </c>
      <c r="K53" s="20">
        <f t="shared" si="2"/>
        <v>0</v>
      </c>
    </row>
    <row r="54" spans="1:11" ht="16.5" customHeight="1">
      <c r="A54" s="21"/>
      <c r="B54" s="24" t="s">
        <v>57</v>
      </c>
      <c r="C54" s="28" t="s">
        <v>13</v>
      </c>
      <c r="D54" s="29">
        <f>D50*0.04</f>
        <v>34.08</v>
      </c>
      <c r="E54" s="29">
        <v>0</v>
      </c>
      <c r="F54" s="20">
        <f t="shared" si="0"/>
        <v>0</v>
      </c>
      <c r="G54" s="29"/>
      <c r="H54" s="20">
        <f t="shared" si="3"/>
        <v>0</v>
      </c>
      <c r="I54" s="29">
        <v>0</v>
      </c>
      <c r="J54" s="20">
        <f t="shared" si="1"/>
        <v>0</v>
      </c>
      <c r="K54" s="20">
        <f t="shared" si="2"/>
        <v>0</v>
      </c>
    </row>
    <row r="55" spans="1:11" ht="16.5" customHeight="1">
      <c r="A55" s="21"/>
      <c r="B55" s="24" t="s">
        <v>58</v>
      </c>
      <c r="C55" s="28" t="s">
        <v>9</v>
      </c>
      <c r="D55" s="29">
        <f>D50*0.01</f>
        <v>8.52</v>
      </c>
      <c r="E55" s="29">
        <v>0</v>
      </c>
      <c r="F55" s="20">
        <f t="shared" si="0"/>
        <v>0</v>
      </c>
      <c r="G55" s="29"/>
      <c r="H55" s="20">
        <f t="shared" si="3"/>
        <v>0</v>
      </c>
      <c r="I55" s="29">
        <v>0</v>
      </c>
      <c r="J55" s="20">
        <f t="shared" si="1"/>
        <v>0</v>
      </c>
      <c r="K55" s="20">
        <f t="shared" si="2"/>
        <v>0</v>
      </c>
    </row>
    <row r="56" spans="1:11" ht="16.5" customHeight="1">
      <c r="A56" s="21"/>
      <c r="B56" s="24" t="s">
        <v>11</v>
      </c>
      <c r="C56" s="28" t="s">
        <v>12</v>
      </c>
      <c r="D56" s="29">
        <f>D50*0.05</f>
        <v>42.6</v>
      </c>
      <c r="E56" s="29">
        <v>0</v>
      </c>
      <c r="F56" s="20">
        <f t="shared" si="0"/>
        <v>0</v>
      </c>
      <c r="G56" s="29"/>
      <c r="H56" s="20">
        <f t="shared" si="3"/>
        <v>0</v>
      </c>
      <c r="I56" s="29"/>
      <c r="J56" s="20">
        <f t="shared" si="1"/>
        <v>0</v>
      </c>
      <c r="K56" s="20">
        <f t="shared" si="2"/>
        <v>0</v>
      </c>
    </row>
    <row r="57" spans="1:11" ht="20.25" customHeight="1">
      <c r="A57" s="21">
        <v>8</v>
      </c>
      <c r="B57" s="23" t="s">
        <v>100</v>
      </c>
      <c r="C57" s="28" t="s">
        <v>8</v>
      </c>
      <c r="D57" s="29">
        <f>41+43+9+20</f>
        <v>113</v>
      </c>
      <c r="E57" s="29"/>
      <c r="F57" s="20">
        <f t="shared" si="0"/>
        <v>0</v>
      </c>
      <c r="G57" s="29">
        <v>0</v>
      </c>
      <c r="H57" s="20">
        <f t="shared" si="3"/>
        <v>0</v>
      </c>
      <c r="I57" s="29"/>
      <c r="J57" s="20">
        <f t="shared" si="1"/>
        <v>0</v>
      </c>
      <c r="K57" s="20">
        <f t="shared" si="2"/>
        <v>0</v>
      </c>
    </row>
    <row r="58" spans="1:11" ht="20.25" customHeight="1">
      <c r="A58" s="21">
        <v>9</v>
      </c>
      <c r="B58" s="23" t="s">
        <v>60</v>
      </c>
      <c r="C58" s="28" t="s">
        <v>8</v>
      </c>
      <c r="D58" s="29">
        <f>215+90+111+117+70</f>
        <v>603</v>
      </c>
      <c r="E58" s="29"/>
      <c r="F58" s="20">
        <f t="shared" si="0"/>
        <v>0</v>
      </c>
      <c r="G58" s="29">
        <v>0</v>
      </c>
      <c r="H58" s="20">
        <f t="shared" si="3"/>
        <v>0</v>
      </c>
      <c r="I58" s="29"/>
      <c r="J58" s="20">
        <f t="shared" si="1"/>
        <v>0</v>
      </c>
      <c r="K58" s="20">
        <f t="shared" si="2"/>
        <v>0</v>
      </c>
    </row>
    <row r="59" spans="1:11">
      <c r="A59" s="21"/>
      <c r="B59" s="24" t="s">
        <v>135</v>
      </c>
      <c r="C59" s="28" t="s">
        <v>8</v>
      </c>
      <c r="D59" s="29">
        <f>93*1.03</f>
        <v>95.79</v>
      </c>
      <c r="E59" s="29">
        <v>0</v>
      </c>
      <c r="F59" s="20">
        <f t="shared" si="0"/>
        <v>0</v>
      </c>
      <c r="G59" s="29"/>
      <c r="H59" s="20">
        <f t="shared" si="3"/>
        <v>0</v>
      </c>
      <c r="I59" s="29">
        <v>0</v>
      </c>
      <c r="J59" s="20">
        <f t="shared" si="1"/>
        <v>0</v>
      </c>
      <c r="K59" s="20">
        <f t="shared" si="2"/>
        <v>0</v>
      </c>
    </row>
    <row r="60" spans="1:11">
      <c r="A60" s="21"/>
      <c r="B60" s="24" t="s">
        <v>136</v>
      </c>
      <c r="C60" s="28" t="s">
        <v>8</v>
      </c>
      <c r="D60" s="29">
        <f>20*1.03</f>
        <v>20.6</v>
      </c>
      <c r="E60" s="29">
        <v>0</v>
      </c>
      <c r="F60" s="20">
        <f t="shared" si="0"/>
        <v>0</v>
      </c>
      <c r="G60" s="29"/>
      <c r="H60" s="20">
        <f t="shared" si="3"/>
        <v>0</v>
      </c>
      <c r="I60" s="29">
        <v>0</v>
      </c>
      <c r="J60" s="20">
        <f t="shared" si="1"/>
        <v>0</v>
      </c>
      <c r="K60" s="20">
        <f t="shared" si="2"/>
        <v>0</v>
      </c>
    </row>
    <row r="61" spans="1:11">
      <c r="A61" s="21"/>
      <c r="B61" s="24" t="s">
        <v>66</v>
      </c>
      <c r="C61" s="28" t="s">
        <v>8</v>
      </c>
      <c r="D61" s="29">
        <f>D58*1.03</f>
        <v>621.09</v>
      </c>
      <c r="E61" s="29">
        <v>0</v>
      </c>
      <c r="F61" s="20">
        <f t="shared" si="0"/>
        <v>0</v>
      </c>
      <c r="G61" s="29"/>
      <c r="H61" s="20">
        <f t="shared" si="3"/>
        <v>0</v>
      </c>
      <c r="I61" s="29">
        <v>0</v>
      </c>
      <c r="J61" s="20">
        <f t="shared" si="1"/>
        <v>0</v>
      </c>
      <c r="K61" s="20">
        <f t="shared" si="2"/>
        <v>0</v>
      </c>
    </row>
    <row r="62" spans="1:11">
      <c r="A62" s="21"/>
      <c r="B62" s="24" t="s">
        <v>26</v>
      </c>
      <c r="C62" s="28" t="s">
        <v>13</v>
      </c>
      <c r="D62" s="29">
        <f>(D57+D58)*5.5</f>
        <v>3938</v>
      </c>
      <c r="E62" s="29">
        <v>0</v>
      </c>
      <c r="F62" s="20">
        <f t="shared" si="0"/>
        <v>0</v>
      </c>
      <c r="G62" s="29"/>
      <c r="H62" s="20">
        <f t="shared" si="3"/>
        <v>0</v>
      </c>
      <c r="I62" s="29">
        <v>0</v>
      </c>
      <c r="J62" s="20">
        <f t="shared" si="1"/>
        <v>0</v>
      </c>
      <c r="K62" s="20">
        <f t="shared" si="2"/>
        <v>0</v>
      </c>
    </row>
    <row r="63" spans="1:11">
      <c r="A63" s="21"/>
      <c r="B63" s="24" t="s">
        <v>138</v>
      </c>
      <c r="C63" s="28" t="s">
        <v>13</v>
      </c>
      <c r="D63" s="29">
        <f>D60*6</f>
        <v>123.60000000000001</v>
      </c>
      <c r="E63" s="29">
        <v>0</v>
      </c>
      <c r="F63" s="20">
        <f t="shared" si="0"/>
        <v>0</v>
      </c>
      <c r="G63" s="29"/>
      <c r="H63" s="20">
        <f t="shared" si="3"/>
        <v>0</v>
      </c>
      <c r="I63" s="29">
        <v>0</v>
      </c>
      <c r="J63" s="20">
        <f t="shared" si="1"/>
        <v>0</v>
      </c>
      <c r="K63" s="20">
        <f t="shared" si="2"/>
        <v>0</v>
      </c>
    </row>
    <row r="64" spans="1:11">
      <c r="A64" s="21"/>
      <c r="B64" s="24" t="s">
        <v>27</v>
      </c>
      <c r="C64" s="28" t="s">
        <v>13</v>
      </c>
      <c r="D64" s="29">
        <f>(D57+D58)*0.04</f>
        <v>28.64</v>
      </c>
      <c r="E64" s="29">
        <v>0</v>
      </c>
      <c r="F64" s="20">
        <f t="shared" si="0"/>
        <v>0</v>
      </c>
      <c r="G64" s="29"/>
      <c r="H64" s="20">
        <f t="shared" si="3"/>
        <v>0</v>
      </c>
      <c r="I64" s="29">
        <v>0</v>
      </c>
      <c r="J64" s="20">
        <f t="shared" si="1"/>
        <v>0</v>
      </c>
      <c r="K64" s="20">
        <f t="shared" si="2"/>
        <v>0</v>
      </c>
    </row>
    <row r="65" spans="1:11">
      <c r="A65" s="21"/>
      <c r="B65" s="24" t="s">
        <v>33</v>
      </c>
      <c r="C65" s="28" t="s">
        <v>9</v>
      </c>
      <c r="D65" s="29">
        <f>(D57+D58)*0.1</f>
        <v>71.600000000000009</v>
      </c>
      <c r="E65" s="29">
        <v>0</v>
      </c>
      <c r="F65" s="20">
        <f t="shared" si="0"/>
        <v>0</v>
      </c>
      <c r="G65" s="29"/>
      <c r="H65" s="20">
        <f t="shared" si="3"/>
        <v>0</v>
      </c>
      <c r="I65" s="29">
        <v>0</v>
      </c>
      <c r="J65" s="20">
        <f t="shared" si="1"/>
        <v>0</v>
      </c>
      <c r="K65" s="20">
        <f t="shared" si="2"/>
        <v>0</v>
      </c>
    </row>
    <row r="66" spans="1:11">
      <c r="A66" s="21"/>
      <c r="B66" s="24" t="s">
        <v>11</v>
      </c>
      <c r="C66" s="28" t="s">
        <v>12</v>
      </c>
      <c r="D66" s="29">
        <f>(D57+D58)*0.05</f>
        <v>35.800000000000004</v>
      </c>
      <c r="E66" s="29">
        <v>0</v>
      </c>
      <c r="F66" s="20">
        <f t="shared" si="0"/>
        <v>0</v>
      </c>
      <c r="G66" s="29"/>
      <c r="H66" s="20">
        <f t="shared" si="3"/>
        <v>0</v>
      </c>
      <c r="I66" s="29"/>
      <c r="J66" s="20">
        <f t="shared" si="1"/>
        <v>0</v>
      </c>
      <c r="K66" s="20">
        <f t="shared" si="2"/>
        <v>0</v>
      </c>
    </row>
    <row r="67" spans="1:11" ht="20.25" customHeight="1">
      <c r="A67" s="21"/>
      <c r="B67" s="66" t="s">
        <v>90</v>
      </c>
      <c r="C67" s="28"/>
      <c r="D67" s="29"/>
      <c r="E67" s="29"/>
      <c r="F67" s="20">
        <f t="shared" si="0"/>
        <v>0</v>
      </c>
      <c r="G67" s="29"/>
      <c r="H67" s="20">
        <f t="shared" si="3"/>
        <v>0</v>
      </c>
      <c r="I67" s="29"/>
      <c r="J67" s="20">
        <f t="shared" si="1"/>
        <v>0</v>
      </c>
      <c r="K67" s="20">
        <f t="shared" si="2"/>
        <v>0</v>
      </c>
    </row>
    <row r="68" spans="1:11">
      <c r="A68" s="21">
        <v>1</v>
      </c>
      <c r="B68" s="23" t="s">
        <v>73</v>
      </c>
      <c r="C68" s="28" t="s">
        <v>8</v>
      </c>
      <c r="D68" s="20">
        <v>23</v>
      </c>
      <c r="E68" s="20"/>
      <c r="F68" s="20">
        <f t="shared" si="0"/>
        <v>0</v>
      </c>
      <c r="G68" s="20">
        <v>0</v>
      </c>
      <c r="H68" s="20">
        <f t="shared" si="3"/>
        <v>0</v>
      </c>
      <c r="I68" s="20"/>
      <c r="J68" s="20">
        <f t="shared" si="1"/>
        <v>0</v>
      </c>
      <c r="K68" s="20">
        <f t="shared" si="2"/>
        <v>0</v>
      </c>
    </row>
    <row r="69" spans="1:11">
      <c r="A69" s="21">
        <v>2</v>
      </c>
      <c r="B69" s="23" t="s">
        <v>74</v>
      </c>
      <c r="C69" s="28" t="s">
        <v>8</v>
      </c>
      <c r="D69" s="20">
        <v>22</v>
      </c>
      <c r="E69" s="20"/>
      <c r="F69" s="20">
        <f t="shared" si="0"/>
        <v>0</v>
      </c>
      <c r="G69" s="20">
        <v>0</v>
      </c>
      <c r="H69" s="20">
        <f t="shared" si="3"/>
        <v>0</v>
      </c>
      <c r="I69" s="20"/>
      <c r="J69" s="20">
        <f t="shared" si="1"/>
        <v>0</v>
      </c>
      <c r="K69" s="20">
        <f t="shared" si="2"/>
        <v>0</v>
      </c>
    </row>
    <row r="70" spans="1:11">
      <c r="A70" s="21"/>
      <c r="B70" s="38" t="s">
        <v>43</v>
      </c>
      <c r="C70" s="14" t="s">
        <v>39</v>
      </c>
      <c r="D70" s="20">
        <f>D71/64*0.18+D72/128*0.18</f>
        <v>1.1953125</v>
      </c>
      <c r="E70" s="20">
        <v>0</v>
      </c>
      <c r="F70" s="20">
        <f t="shared" si="0"/>
        <v>0</v>
      </c>
      <c r="G70" s="20"/>
      <c r="H70" s="20">
        <f t="shared" si="3"/>
        <v>0</v>
      </c>
      <c r="I70" s="20">
        <v>0</v>
      </c>
      <c r="J70" s="20">
        <f t="shared" si="1"/>
        <v>0</v>
      </c>
      <c r="K70" s="20">
        <f t="shared" si="2"/>
        <v>0</v>
      </c>
    </row>
    <row r="71" spans="1:11">
      <c r="A71" s="21"/>
      <c r="B71" s="38" t="s">
        <v>76</v>
      </c>
      <c r="C71" s="14" t="s">
        <v>21</v>
      </c>
      <c r="D71" s="36">
        <f>D68*12.5</f>
        <v>287.5</v>
      </c>
      <c r="E71" s="20">
        <v>0</v>
      </c>
      <c r="F71" s="20">
        <f t="shared" si="0"/>
        <v>0</v>
      </c>
      <c r="G71" s="20"/>
      <c r="H71" s="20">
        <f t="shared" si="3"/>
        <v>0</v>
      </c>
      <c r="I71" s="20">
        <v>0</v>
      </c>
      <c r="J71" s="20">
        <f t="shared" si="1"/>
        <v>0</v>
      </c>
      <c r="K71" s="20">
        <f t="shared" si="2"/>
        <v>0</v>
      </c>
    </row>
    <row r="72" spans="1:11">
      <c r="A72" s="21"/>
      <c r="B72" s="38" t="s">
        <v>75</v>
      </c>
      <c r="C72" s="14" t="s">
        <v>21</v>
      </c>
      <c r="D72" s="36">
        <f>D69*12.5</f>
        <v>275</v>
      </c>
      <c r="E72" s="20">
        <v>0</v>
      </c>
      <c r="F72" s="20">
        <f t="shared" si="0"/>
        <v>0</v>
      </c>
      <c r="G72" s="20"/>
      <c r="H72" s="20">
        <f t="shared" si="3"/>
        <v>0</v>
      </c>
      <c r="I72" s="20">
        <v>0</v>
      </c>
      <c r="J72" s="20">
        <f t="shared" si="1"/>
        <v>0</v>
      </c>
      <c r="K72" s="20">
        <f t="shared" si="2"/>
        <v>0</v>
      </c>
    </row>
    <row r="73" spans="1:11">
      <c r="A73" s="21"/>
      <c r="B73" s="38" t="s">
        <v>42</v>
      </c>
      <c r="C73" s="14" t="s">
        <v>12</v>
      </c>
      <c r="D73" s="20">
        <f>0.16*D68</f>
        <v>3.68</v>
      </c>
      <c r="E73" s="20">
        <v>0</v>
      </c>
      <c r="F73" s="20">
        <f t="shared" si="0"/>
        <v>0</v>
      </c>
      <c r="G73" s="20"/>
      <c r="H73" s="20">
        <f t="shared" si="3"/>
        <v>0</v>
      </c>
      <c r="I73" s="20"/>
      <c r="J73" s="20">
        <f t="shared" si="1"/>
        <v>0</v>
      </c>
      <c r="K73" s="20">
        <f t="shared" si="2"/>
        <v>0</v>
      </c>
    </row>
    <row r="74" spans="1:11" ht="32.25" customHeight="1">
      <c r="A74" s="21">
        <v>3</v>
      </c>
      <c r="B74" s="23" t="s">
        <v>67</v>
      </c>
      <c r="C74" s="28" t="s">
        <v>8</v>
      </c>
      <c r="D74" s="20">
        <v>26</v>
      </c>
      <c r="E74" s="20"/>
      <c r="F74" s="20">
        <f t="shared" si="0"/>
        <v>0</v>
      </c>
      <c r="G74" s="20">
        <v>0</v>
      </c>
      <c r="H74" s="20">
        <f t="shared" si="3"/>
        <v>0</v>
      </c>
      <c r="I74" s="20"/>
      <c r="J74" s="20">
        <f t="shared" si="1"/>
        <v>0</v>
      </c>
      <c r="K74" s="20">
        <f t="shared" si="2"/>
        <v>0</v>
      </c>
    </row>
    <row r="75" spans="1:11">
      <c r="A75" s="21"/>
      <c r="B75" s="38" t="s">
        <v>43</v>
      </c>
      <c r="C75" s="14" t="s">
        <v>39</v>
      </c>
      <c r="D75" s="20">
        <f>D76/42*0.18</f>
        <v>1.3928571428571428</v>
      </c>
      <c r="E75" s="20">
        <v>0</v>
      </c>
      <c r="F75" s="20">
        <f t="shared" si="0"/>
        <v>0</v>
      </c>
      <c r="G75" s="20"/>
      <c r="H75" s="20">
        <f t="shared" si="3"/>
        <v>0</v>
      </c>
      <c r="I75" s="20">
        <v>0</v>
      </c>
      <c r="J75" s="20">
        <f t="shared" si="1"/>
        <v>0</v>
      </c>
      <c r="K75" s="20">
        <f t="shared" si="2"/>
        <v>0</v>
      </c>
    </row>
    <row r="76" spans="1:11">
      <c r="A76" s="21"/>
      <c r="B76" s="38" t="s">
        <v>44</v>
      </c>
      <c r="C76" s="14" t="s">
        <v>21</v>
      </c>
      <c r="D76" s="36">
        <f>D74*12.5</f>
        <v>325</v>
      </c>
      <c r="E76" s="20">
        <v>0</v>
      </c>
      <c r="F76" s="20">
        <f t="shared" si="0"/>
        <v>0</v>
      </c>
      <c r="G76" s="20"/>
      <c r="H76" s="20">
        <f t="shared" si="3"/>
        <v>0</v>
      </c>
      <c r="I76" s="20">
        <v>0</v>
      </c>
      <c r="J76" s="20">
        <f t="shared" si="1"/>
        <v>0</v>
      </c>
      <c r="K76" s="20">
        <f t="shared" si="2"/>
        <v>0</v>
      </c>
    </row>
    <row r="77" spans="1:11">
      <c r="A77" s="21"/>
      <c r="B77" s="38" t="s">
        <v>42</v>
      </c>
      <c r="C77" s="14" t="s">
        <v>12</v>
      </c>
      <c r="D77" s="20">
        <f>0.16*D74</f>
        <v>4.16</v>
      </c>
      <c r="E77" s="20">
        <v>0</v>
      </c>
      <c r="F77" s="20">
        <f t="shared" si="0"/>
        <v>0</v>
      </c>
      <c r="G77" s="20"/>
      <c r="H77" s="20">
        <f t="shared" si="3"/>
        <v>0</v>
      </c>
      <c r="I77" s="20"/>
      <c r="J77" s="20">
        <f t="shared" si="1"/>
        <v>0</v>
      </c>
      <c r="K77" s="20">
        <f t="shared" ref="K77:K140" si="4">J77+H77+F77</f>
        <v>0</v>
      </c>
    </row>
    <row r="78" spans="1:11" ht="31.5" customHeight="1">
      <c r="A78" s="21">
        <v>4</v>
      </c>
      <c r="B78" s="23" t="s">
        <v>70</v>
      </c>
      <c r="C78" s="14" t="s">
        <v>40</v>
      </c>
      <c r="D78" s="29">
        <v>108</v>
      </c>
      <c r="E78" s="20"/>
      <c r="F78" s="20">
        <f t="shared" si="0"/>
        <v>0</v>
      </c>
      <c r="G78" s="20">
        <v>0</v>
      </c>
      <c r="H78" s="20">
        <f t="shared" ref="H78:H141" si="5">G78*D78</f>
        <v>0</v>
      </c>
      <c r="I78" s="20"/>
      <c r="J78" s="20">
        <f t="shared" si="1"/>
        <v>0</v>
      </c>
      <c r="K78" s="20">
        <f t="shared" si="4"/>
        <v>0</v>
      </c>
    </row>
    <row r="79" spans="1:11">
      <c r="A79" s="21"/>
      <c r="B79" s="38" t="s">
        <v>68</v>
      </c>
      <c r="C79" s="14" t="s">
        <v>41</v>
      </c>
      <c r="D79" s="20">
        <f>D80*0.2</f>
        <v>1.4040000000000001</v>
      </c>
      <c r="E79" s="20">
        <v>0</v>
      </c>
      <c r="F79" s="20">
        <f t="shared" si="0"/>
        <v>0</v>
      </c>
      <c r="G79" s="20"/>
      <c r="H79" s="20">
        <f t="shared" si="5"/>
        <v>0</v>
      </c>
      <c r="I79" s="20">
        <v>0</v>
      </c>
      <c r="J79" s="20">
        <f t="shared" si="1"/>
        <v>0</v>
      </c>
      <c r="K79" s="20">
        <f t="shared" si="4"/>
        <v>0</v>
      </c>
    </row>
    <row r="80" spans="1:11">
      <c r="A80" s="21"/>
      <c r="B80" s="38" t="s">
        <v>69</v>
      </c>
      <c r="C80" s="14" t="s">
        <v>41</v>
      </c>
      <c r="D80" s="20">
        <f>D78*0.065</f>
        <v>7.0200000000000005</v>
      </c>
      <c r="E80" s="20">
        <v>0</v>
      </c>
      <c r="F80" s="20">
        <f t="shared" si="0"/>
        <v>0</v>
      </c>
      <c r="G80" s="20"/>
      <c r="H80" s="20">
        <f t="shared" si="5"/>
        <v>0</v>
      </c>
      <c r="I80" s="20">
        <v>0</v>
      </c>
      <c r="J80" s="20">
        <f t="shared" si="1"/>
        <v>0</v>
      </c>
      <c r="K80" s="20">
        <f t="shared" si="4"/>
        <v>0</v>
      </c>
    </row>
    <row r="81" spans="1:11">
      <c r="A81" s="21"/>
      <c r="B81" s="38" t="s">
        <v>71</v>
      </c>
      <c r="C81" s="28" t="s">
        <v>8</v>
      </c>
      <c r="D81" s="20">
        <v>26</v>
      </c>
      <c r="E81" s="20">
        <v>0</v>
      </c>
      <c r="F81" s="20">
        <f t="shared" si="0"/>
        <v>0</v>
      </c>
      <c r="G81" s="20"/>
      <c r="H81" s="20">
        <f t="shared" si="5"/>
        <v>0</v>
      </c>
      <c r="I81" s="20">
        <v>0</v>
      </c>
      <c r="J81" s="20">
        <f t="shared" si="1"/>
        <v>0</v>
      </c>
      <c r="K81" s="20">
        <f t="shared" si="4"/>
        <v>0</v>
      </c>
    </row>
    <row r="82" spans="1:11" ht="15.75">
      <c r="A82" s="21"/>
      <c r="B82" s="27" t="s">
        <v>52</v>
      </c>
      <c r="C82" s="47" t="s">
        <v>38</v>
      </c>
      <c r="D82" s="48">
        <f>D78*1.5</f>
        <v>162</v>
      </c>
      <c r="E82" s="46">
        <v>0</v>
      </c>
      <c r="F82" s="20">
        <f t="shared" si="0"/>
        <v>0</v>
      </c>
      <c r="G82" s="46"/>
      <c r="H82" s="20">
        <f t="shared" si="5"/>
        <v>0</v>
      </c>
      <c r="I82" s="20">
        <v>0</v>
      </c>
      <c r="J82" s="20">
        <f t="shared" si="1"/>
        <v>0</v>
      </c>
      <c r="K82" s="20">
        <f t="shared" si="4"/>
        <v>0</v>
      </c>
    </row>
    <row r="83" spans="1:11">
      <c r="A83" s="21"/>
      <c r="B83" s="38" t="s">
        <v>42</v>
      </c>
      <c r="C83" s="14" t="s">
        <v>12</v>
      </c>
      <c r="D83" s="20">
        <f>0.16*D78</f>
        <v>17.28</v>
      </c>
      <c r="E83" s="20">
        <v>0</v>
      </c>
      <c r="F83" s="20">
        <f t="shared" ref="F83:F146" si="6">E83*D83</f>
        <v>0</v>
      </c>
      <c r="G83" s="20"/>
      <c r="H83" s="20">
        <f t="shared" si="5"/>
        <v>0</v>
      </c>
      <c r="I83" s="20"/>
      <c r="J83" s="20">
        <f t="shared" ref="J83:J146" si="7">I83*D83</f>
        <v>0</v>
      </c>
      <c r="K83" s="20">
        <f t="shared" si="4"/>
        <v>0</v>
      </c>
    </row>
    <row r="84" spans="1:11" ht="18.75" customHeight="1">
      <c r="A84" s="21">
        <v>5</v>
      </c>
      <c r="B84" s="23" t="s">
        <v>77</v>
      </c>
      <c r="C84" s="14" t="s">
        <v>40</v>
      </c>
      <c r="D84" s="29">
        <f>(D68+D69)*2+28</f>
        <v>118</v>
      </c>
      <c r="E84" s="20"/>
      <c r="F84" s="20">
        <f t="shared" si="6"/>
        <v>0</v>
      </c>
      <c r="G84" s="20">
        <v>0</v>
      </c>
      <c r="H84" s="20">
        <f t="shared" si="5"/>
        <v>0</v>
      </c>
      <c r="I84" s="20"/>
      <c r="J84" s="20">
        <f t="shared" si="7"/>
        <v>0</v>
      </c>
      <c r="K84" s="20">
        <f t="shared" si="4"/>
        <v>0</v>
      </c>
    </row>
    <row r="85" spans="1:11" ht="18.75" customHeight="1">
      <c r="A85" s="21">
        <v>6</v>
      </c>
      <c r="B85" s="23" t="s">
        <v>109</v>
      </c>
      <c r="C85" s="14" t="s">
        <v>10</v>
      </c>
      <c r="D85" s="29">
        <v>173</v>
      </c>
      <c r="E85" s="20"/>
      <c r="F85" s="20">
        <f t="shared" si="6"/>
        <v>0</v>
      </c>
      <c r="G85" s="20">
        <v>0</v>
      </c>
      <c r="H85" s="20">
        <f t="shared" si="5"/>
        <v>0</v>
      </c>
      <c r="I85" s="20"/>
      <c r="J85" s="20">
        <f t="shared" si="7"/>
        <v>0</v>
      </c>
      <c r="K85" s="20">
        <f t="shared" si="4"/>
        <v>0</v>
      </c>
    </row>
    <row r="86" spans="1:11">
      <c r="A86" s="21"/>
      <c r="B86" s="38" t="s">
        <v>68</v>
      </c>
      <c r="C86" s="14" t="s">
        <v>41</v>
      </c>
      <c r="D86" s="20">
        <f>D87*0.3</f>
        <v>1.1220000000000001</v>
      </c>
      <c r="E86" s="20">
        <v>0</v>
      </c>
      <c r="F86" s="20">
        <f t="shared" si="6"/>
        <v>0</v>
      </c>
      <c r="G86" s="20"/>
      <c r="H86" s="20">
        <f t="shared" si="5"/>
        <v>0</v>
      </c>
      <c r="I86" s="20">
        <v>0</v>
      </c>
      <c r="J86" s="20">
        <f t="shared" si="7"/>
        <v>0</v>
      </c>
      <c r="K86" s="20">
        <f t="shared" si="4"/>
        <v>0</v>
      </c>
    </row>
    <row r="87" spans="1:11">
      <c r="A87" s="21"/>
      <c r="B87" s="38" t="s">
        <v>78</v>
      </c>
      <c r="C87" s="14" t="s">
        <v>32</v>
      </c>
      <c r="D87" s="20">
        <f>D84*0.03+0.2</f>
        <v>3.74</v>
      </c>
      <c r="E87" s="20">
        <v>0</v>
      </c>
      <c r="F87" s="20">
        <f t="shared" si="6"/>
        <v>0</v>
      </c>
      <c r="G87" s="20"/>
      <c r="H87" s="20">
        <f t="shared" si="5"/>
        <v>0</v>
      </c>
      <c r="I87" s="20">
        <v>0</v>
      </c>
      <c r="J87" s="20">
        <f t="shared" si="7"/>
        <v>0</v>
      </c>
      <c r="K87" s="20">
        <f t="shared" si="4"/>
        <v>0</v>
      </c>
    </row>
    <row r="88" spans="1:11" ht="15.75">
      <c r="A88" s="21"/>
      <c r="B88" s="27" t="s">
        <v>52</v>
      </c>
      <c r="C88" s="47" t="s">
        <v>38</v>
      </c>
      <c r="D88" s="48">
        <f>D84*1.5</f>
        <v>177</v>
      </c>
      <c r="E88" s="20">
        <v>0</v>
      </c>
      <c r="F88" s="20">
        <f t="shared" si="6"/>
        <v>0</v>
      </c>
      <c r="G88" s="46"/>
      <c r="H88" s="20">
        <f t="shared" si="5"/>
        <v>0</v>
      </c>
      <c r="I88" s="20">
        <v>0</v>
      </c>
      <c r="J88" s="20">
        <f t="shared" si="7"/>
        <v>0</v>
      </c>
      <c r="K88" s="20">
        <f t="shared" si="4"/>
        <v>0</v>
      </c>
    </row>
    <row r="89" spans="1:11">
      <c r="A89" s="21"/>
      <c r="B89" s="38" t="s">
        <v>42</v>
      </c>
      <c r="C89" s="14" t="s">
        <v>12</v>
      </c>
      <c r="D89" s="20">
        <f>0.16*D84</f>
        <v>18.88</v>
      </c>
      <c r="E89" s="20">
        <v>0</v>
      </c>
      <c r="F89" s="20">
        <f t="shared" si="6"/>
        <v>0</v>
      </c>
      <c r="G89" s="20"/>
      <c r="H89" s="20">
        <f t="shared" si="5"/>
        <v>0</v>
      </c>
      <c r="I89" s="20"/>
      <c r="J89" s="20">
        <f t="shared" si="7"/>
        <v>0</v>
      </c>
      <c r="K89" s="20">
        <f t="shared" si="4"/>
        <v>0</v>
      </c>
    </row>
    <row r="90" spans="1:11" ht="27" customHeight="1">
      <c r="A90" s="21">
        <v>7</v>
      </c>
      <c r="B90" s="23" t="s">
        <v>81</v>
      </c>
      <c r="C90" s="39" t="s">
        <v>8</v>
      </c>
      <c r="D90" s="20">
        <v>824</v>
      </c>
      <c r="E90" s="20"/>
      <c r="F90" s="20">
        <f t="shared" si="6"/>
        <v>0</v>
      </c>
      <c r="G90" s="20">
        <v>0</v>
      </c>
      <c r="H90" s="20">
        <f t="shared" si="5"/>
        <v>0</v>
      </c>
      <c r="I90" s="20"/>
      <c r="J90" s="20">
        <f t="shared" si="7"/>
        <v>0</v>
      </c>
      <c r="K90" s="20">
        <f t="shared" si="4"/>
        <v>0</v>
      </c>
    </row>
    <row r="91" spans="1:11" ht="18.75" customHeight="1">
      <c r="A91" s="21">
        <v>8</v>
      </c>
      <c r="B91" s="23" t="s">
        <v>83</v>
      </c>
      <c r="C91" s="39" t="s">
        <v>8</v>
      </c>
      <c r="D91" s="20">
        <v>710</v>
      </c>
      <c r="E91" s="20"/>
      <c r="F91" s="20">
        <f t="shared" si="6"/>
        <v>0</v>
      </c>
      <c r="G91" s="20">
        <v>0</v>
      </c>
      <c r="H91" s="20">
        <f t="shared" si="5"/>
        <v>0</v>
      </c>
      <c r="I91" s="20"/>
      <c r="J91" s="20">
        <f t="shared" si="7"/>
        <v>0</v>
      </c>
      <c r="K91" s="20">
        <f t="shared" si="4"/>
        <v>0</v>
      </c>
    </row>
    <row r="92" spans="1:11" ht="25.5" customHeight="1">
      <c r="A92" s="21">
        <v>9</v>
      </c>
      <c r="B92" s="23" t="s">
        <v>82</v>
      </c>
      <c r="C92" s="39" t="s">
        <v>8</v>
      </c>
      <c r="D92" s="29">
        <v>167</v>
      </c>
      <c r="E92" s="29"/>
      <c r="F92" s="20">
        <f t="shared" si="6"/>
        <v>0</v>
      </c>
      <c r="G92" s="20">
        <v>0</v>
      </c>
      <c r="H92" s="20">
        <f t="shared" si="5"/>
        <v>0</v>
      </c>
      <c r="I92" s="29"/>
      <c r="J92" s="20">
        <f t="shared" si="7"/>
        <v>0</v>
      </c>
      <c r="K92" s="20">
        <f t="shared" si="4"/>
        <v>0</v>
      </c>
    </row>
    <row r="93" spans="1:11" ht="30">
      <c r="A93" s="21">
        <v>10</v>
      </c>
      <c r="B93" s="23" t="s">
        <v>84</v>
      </c>
      <c r="C93" s="39" t="s">
        <v>8</v>
      </c>
      <c r="D93" s="29">
        <v>62</v>
      </c>
      <c r="E93" s="29"/>
      <c r="F93" s="20">
        <f t="shared" si="6"/>
        <v>0</v>
      </c>
      <c r="G93" s="20">
        <v>0</v>
      </c>
      <c r="H93" s="20">
        <f t="shared" si="5"/>
        <v>0</v>
      </c>
      <c r="I93" s="29"/>
      <c r="J93" s="20">
        <f t="shared" si="7"/>
        <v>0</v>
      </c>
      <c r="K93" s="20">
        <f t="shared" si="4"/>
        <v>0</v>
      </c>
    </row>
    <row r="94" spans="1:11" ht="19.5" customHeight="1">
      <c r="A94" s="21">
        <v>11</v>
      </c>
      <c r="B94" s="23" t="s">
        <v>85</v>
      </c>
      <c r="C94" s="39" t="s">
        <v>8</v>
      </c>
      <c r="D94" s="29">
        <v>251</v>
      </c>
      <c r="E94" s="29"/>
      <c r="F94" s="20">
        <f t="shared" si="6"/>
        <v>0</v>
      </c>
      <c r="G94" s="20">
        <v>0</v>
      </c>
      <c r="H94" s="20">
        <f t="shared" si="5"/>
        <v>0</v>
      </c>
      <c r="I94" s="29"/>
      <c r="J94" s="20">
        <f t="shared" si="7"/>
        <v>0</v>
      </c>
      <c r="K94" s="20">
        <f t="shared" si="4"/>
        <v>0</v>
      </c>
    </row>
    <row r="95" spans="1:11" ht="19.5" customHeight="1">
      <c r="A95" s="21"/>
      <c r="B95" s="57" t="s">
        <v>79</v>
      </c>
      <c r="C95" s="39" t="s">
        <v>8</v>
      </c>
      <c r="D95" s="29">
        <f>D90*2.05</f>
        <v>1689.1999999999998</v>
      </c>
      <c r="E95" s="29">
        <v>0</v>
      </c>
      <c r="F95" s="20">
        <f t="shared" si="6"/>
        <v>0</v>
      </c>
      <c r="G95" s="29"/>
      <c r="H95" s="20">
        <f t="shared" si="5"/>
        <v>0</v>
      </c>
      <c r="I95" s="29">
        <v>0</v>
      </c>
      <c r="J95" s="20">
        <f t="shared" si="7"/>
        <v>0</v>
      </c>
      <c r="K95" s="20">
        <f t="shared" si="4"/>
        <v>0</v>
      </c>
    </row>
    <row r="96" spans="1:11" ht="15.75">
      <c r="A96" s="21"/>
      <c r="B96" s="34" t="s">
        <v>80</v>
      </c>
      <c r="C96" s="39" t="s">
        <v>8</v>
      </c>
      <c r="D96" s="29">
        <f>D91*2.05+D93*1.05+D94*1.05</f>
        <v>1784.1499999999996</v>
      </c>
      <c r="E96" s="29">
        <v>0</v>
      </c>
      <c r="F96" s="20">
        <f t="shared" si="6"/>
        <v>0</v>
      </c>
      <c r="G96" s="29"/>
      <c r="H96" s="20">
        <f t="shared" si="5"/>
        <v>0</v>
      </c>
      <c r="I96" s="29">
        <v>0</v>
      </c>
      <c r="J96" s="20">
        <f t="shared" si="7"/>
        <v>0</v>
      </c>
      <c r="K96" s="20">
        <f t="shared" si="4"/>
        <v>0</v>
      </c>
    </row>
    <row r="97" spans="1:11" ht="15.75">
      <c r="A97" s="21"/>
      <c r="B97" s="34" t="s">
        <v>35</v>
      </c>
      <c r="C97" s="39" t="s">
        <v>8</v>
      </c>
      <c r="D97" s="29">
        <f>D93*1.05</f>
        <v>65.100000000000009</v>
      </c>
      <c r="E97" s="29">
        <v>0</v>
      </c>
      <c r="F97" s="20">
        <f t="shared" si="6"/>
        <v>0</v>
      </c>
      <c r="G97" s="29"/>
      <c r="H97" s="20">
        <f t="shared" si="5"/>
        <v>0</v>
      </c>
      <c r="I97" s="29">
        <v>0</v>
      </c>
      <c r="J97" s="20">
        <f t="shared" si="7"/>
        <v>0</v>
      </c>
      <c r="K97" s="20">
        <f t="shared" si="4"/>
        <v>0</v>
      </c>
    </row>
    <row r="98" spans="1:11" ht="30">
      <c r="A98" s="21"/>
      <c r="B98" s="25" t="s">
        <v>86</v>
      </c>
      <c r="C98" s="39" t="s">
        <v>8</v>
      </c>
      <c r="D98" s="29">
        <f>D93+D92</f>
        <v>229</v>
      </c>
      <c r="E98" s="29">
        <v>0</v>
      </c>
      <c r="F98" s="20">
        <f t="shared" si="6"/>
        <v>0</v>
      </c>
      <c r="G98" s="29"/>
      <c r="H98" s="20">
        <f t="shared" si="5"/>
        <v>0</v>
      </c>
      <c r="I98" s="29">
        <v>0</v>
      </c>
      <c r="J98" s="20">
        <f t="shared" si="7"/>
        <v>0</v>
      </c>
      <c r="K98" s="20">
        <f t="shared" si="4"/>
        <v>0</v>
      </c>
    </row>
    <row r="99" spans="1:11" ht="30">
      <c r="A99" s="21"/>
      <c r="B99" s="35" t="s">
        <v>87</v>
      </c>
      <c r="C99" s="39" t="s">
        <v>8</v>
      </c>
      <c r="D99" s="29">
        <f>D94</f>
        <v>251</v>
      </c>
      <c r="E99" s="29">
        <v>0</v>
      </c>
      <c r="F99" s="20">
        <f t="shared" si="6"/>
        <v>0</v>
      </c>
      <c r="G99" s="29"/>
      <c r="H99" s="20">
        <f t="shared" si="5"/>
        <v>0</v>
      </c>
      <c r="I99" s="29">
        <v>0</v>
      </c>
      <c r="J99" s="20">
        <f t="shared" si="7"/>
        <v>0</v>
      </c>
      <c r="K99" s="20">
        <f t="shared" si="4"/>
        <v>0</v>
      </c>
    </row>
    <row r="100" spans="1:11" ht="15.75">
      <c r="A100" s="21"/>
      <c r="B100" s="35" t="s">
        <v>88</v>
      </c>
      <c r="C100" s="39" t="s">
        <v>8</v>
      </c>
      <c r="D100" s="29">
        <f>D90+D91+D92+D93+D94</f>
        <v>2014</v>
      </c>
      <c r="E100" s="29">
        <v>0</v>
      </c>
      <c r="F100" s="20">
        <f t="shared" si="6"/>
        <v>0</v>
      </c>
      <c r="G100" s="29"/>
      <c r="H100" s="20">
        <f t="shared" si="5"/>
        <v>0</v>
      </c>
      <c r="I100" s="29">
        <v>0</v>
      </c>
      <c r="J100" s="20">
        <f t="shared" si="7"/>
        <v>0</v>
      </c>
      <c r="K100" s="20">
        <f t="shared" si="4"/>
        <v>0</v>
      </c>
    </row>
    <row r="101" spans="1:11" ht="15.75">
      <c r="A101" s="21"/>
      <c r="B101" s="35" t="s">
        <v>36</v>
      </c>
      <c r="C101" s="39" t="s">
        <v>10</v>
      </c>
      <c r="D101" s="29">
        <v>160</v>
      </c>
      <c r="E101" s="29">
        <v>0</v>
      </c>
      <c r="F101" s="20">
        <f t="shared" si="6"/>
        <v>0</v>
      </c>
      <c r="G101" s="29"/>
      <c r="H101" s="20">
        <f t="shared" si="5"/>
        <v>0</v>
      </c>
      <c r="I101" s="29">
        <v>0</v>
      </c>
      <c r="J101" s="20">
        <f t="shared" si="7"/>
        <v>0</v>
      </c>
      <c r="K101" s="20">
        <f t="shared" si="4"/>
        <v>0</v>
      </c>
    </row>
    <row r="102" spans="1:11" ht="15.75">
      <c r="A102" s="21"/>
      <c r="B102" s="35" t="s">
        <v>11</v>
      </c>
      <c r="C102" s="39" t="s">
        <v>12</v>
      </c>
      <c r="D102" s="29">
        <f>(D90+D91+D92+D93+D94)*0.02</f>
        <v>40.28</v>
      </c>
      <c r="E102" s="29">
        <v>0</v>
      </c>
      <c r="F102" s="20">
        <f t="shared" si="6"/>
        <v>0</v>
      </c>
      <c r="G102" s="29"/>
      <c r="H102" s="20">
        <f t="shared" si="5"/>
        <v>0</v>
      </c>
      <c r="I102" s="29">
        <v>0</v>
      </c>
      <c r="J102" s="20">
        <f t="shared" si="7"/>
        <v>0</v>
      </c>
      <c r="K102" s="20">
        <f t="shared" si="4"/>
        <v>0</v>
      </c>
    </row>
    <row r="103" spans="1:11" ht="15.75">
      <c r="A103" s="21"/>
      <c r="B103" s="67" t="s">
        <v>91</v>
      </c>
      <c r="C103" s="39"/>
      <c r="D103" s="29"/>
      <c r="E103" s="29"/>
      <c r="F103" s="20">
        <f t="shared" si="6"/>
        <v>0</v>
      </c>
      <c r="G103" s="29"/>
      <c r="H103" s="20">
        <f t="shared" si="5"/>
        <v>0</v>
      </c>
      <c r="I103" s="29"/>
      <c r="J103" s="20">
        <f t="shared" si="7"/>
        <v>0</v>
      </c>
      <c r="K103" s="20">
        <f t="shared" si="4"/>
        <v>0</v>
      </c>
    </row>
    <row r="104" spans="1:11">
      <c r="A104" s="21">
        <v>1</v>
      </c>
      <c r="B104" s="59" t="s">
        <v>92</v>
      </c>
      <c r="C104" s="39" t="s">
        <v>8</v>
      </c>
      <c r="D104" s="29">
        <f>231+338+339+343+256</f>
        <v>1507</v>
      </c>
      <c r="E104" s="20"/>
      <c r="F104" s="20">
        <f t="shared" si="6"/>
        <v>0</v>
      </c>
      <c r="G104" s="20">
        <v>0</v>
      </c>
      <c r="H104" s="20">
        <f t="shared" si="5"/>
        <v>0</v>
      </c>
      <c r="I104" s="20"/>
      <c r="J104" s="20">
        <f t="shared" si="7"/>
        <v>0</v>
      </c>
      <c r="K104" s="20">
        <f t="shared" si="4"/>
        <v>0</v>
      </c>
    </row>
    <row r="105" spans="1:11" ht="30">
      <c r="A105" s="21"/>
      <c r="B105" s="7" t="s">
        <v>93</v>
      </c>
      <c r="C105" s="14" t="s">
        <v>8</v>
      </c>
      <c r="D105" s="20">
        <f>D104</f>
        <v>1507</v>
      </c>
      <c r="E105" s="20">
        <v>0</v>
      </c>
      <c r="F105" s="20">
        <f t="shared" si="6"/>
        <v>0</v>
      </c>
      <c r="G105" s="20"/>
      <c r="H105" s="20">
        <f t="shared" si="5"/>
        <v>0</v>
      </c>
      <c r="I105" s="20">
        <v>0</v>
      </c>
      <c r="J105" s="20">
        <f t="shared" si="7"/>
        <v>0</v>
      </c>
      <c r="K105" s="20">
        <f t="shared" si="4"/>
        <v>0</v>
      </c>
    </row>
    <row r="106" spans="1:11" ht="30">
      <c r="A106" s="21"/>
      <c r="B106" s="27" t="s">
        <v>94</v>
      </c>
      <c r="C106" s="14" t="s">
        <v>8</v>
      </c>
      <c r="D106" s="36">
        <f>D104</f>
        <v>1507</v>
      </c>
      <c r="E106" s="20">
        <v>0</v>
      </c>
      <c r="F106" s="20">
        <f t="shared" si="6"/>
        <v>0</v>
      </c>
      <c r="G106" s="20"/>
      <c r="H106" s="20">
        <f t="shared" si="5"/>
        <v>0</v>
      </c>
      <c r="I106" s="20">
        <v>0</v>
      </c>
      <c r="J106" s="20">
        <f t="shared" si="7"/>
        <v>0</v>
      </c>
      <c r="K106" s="20">
        <f t="shared" si="4"/>
        <v>0</v>
      </c>
    </row>
    <row r="107" spans="1:11" ht="15.75">
      <c r="A107" s="21"/>
      <c r="B107" s="31" t="s">
        <v>11</v>
      </c>
      <c r="C107" s="39" t="s">
        <v>12</v>
      </c>
      <c r="D107" s="29">
        <v>1</v>
      </c>
      <c r="E107" s="20">
        <v>0</v>
      </c>
      <c r="F107" s="20">
        <f t="shared" si="6"/>
        <v>0</v>
      </c>
      <c r="G107" s="29"/>
      <c r="H107" s="20">
        <f t="shared" si="5"/>
        <v>0</v>
      </c>
      <c r="I107" s="29"/>
      <c r="J107" s="20">
        <f t="shared" si="7"/>
        <v>0</v>
      </c>
      <c r="K107" s="20">
        <f t="shared" si="4"/>
        <v>0</v>
      </c>
    </row>
    <row r="108" spans="1:11">
      <c r="A108" s="21">
        <v>2</v>
      </c>
      <c r="B108" s="59" t="s">
        <v>95</v>
      </c>
      <c r="C108" s="39" t="s">
        <v>8</v>
      </c>
      <c r="D108" s="29">
        <f>9+15+15+14+41</f>
        <v>94</v>
      </c>
      <c r="E108" s="20"/>
      <c r="F108" s="20">
        <f t="shared" si="6"/>
        <v>0</v>
      </c>
      <c r="G108" s="20">
        <v>0</v>
      </c>
      <c r="H108" s="20">
        <f t="shared" si="5"/>
        <v>0</v>
      </c>
      <c r="I108" s="20"/>
      <c r="J108" s="20">
        <f t="shared" si="7"/>
        <v>0</v>
      </c>
      <c r="K108" s="20">
        <f t="shared" si="4"/>
        <v>0</v>
      </c>
    </row>
    <row r="109" spans="1:11" ht="30">
      <c r="A109" s="21"/>
      <c r="B109" s="7" t="s">
        <v>96</v>
      </c>
      <c r="C109" s="14" t="s">
        <v>8</v>
      </c>
      <c r="D109" s="20">
        <f>D108</f>
        <v>94</v>
      </c>
      <c r="E109" s="20">
        <v>0</v>
      </c>
      <c r="F109" s="20">
        <f t="shared" si="6"/>
        <v>0</v>
      </c>
      <c r="G109" s="20"/>
      <c r="H109" s="20">
        <f t="shared" si="5"/>
        <v>0</v>
      </c>
      <c r="I109" s="20">
        <v>0</v>
      </c>
      <c r="J109" s="20">
        <f t="shared" si="7"/>
        <v>0</v>
      </c>
      <c r="K109" s="20">
        <f t="shared" si="4"/>
        <v>0</v>
      </c>
    </row>
    <row r="110" spans="1:11">
      <c r="A110" s="21"/>
      <c r="B110" s="27" t="s">
        <v>97</v>
      </c>
      <c r="C110" s="14" t="s">
        <v>8</v>
      </c>
      <c r="D110" s="36">
        <f>D108</f>
        <v>94</v>
      </c>
      <c r="E110" s="20">
        <v>0</v>
      </c>
      <c r="F110" s="20">
        <f t="shared" si="6"/>
        <v>0</v>
      </c>
      <c r="G110" s="20"/>
      <c r="H110" s="20">
        <f t="shared" si="5"/>
        <v>0</v>
      </c>
      <c r="I110" s="20">
        <v>0</v>
      </c>
      <c r="J110" s="20">
        <f t="shared" si="7"/>
        <v>0</v>
      </c>
      <c r="K110" s="20">
        <f t="shared" si="4"/>
        <v>0</v>
      </c>
    </row>
    <row r="111" spans="1:11" ht="15.75">
      <c r="A111" s="21"/>
      <c r="B111" s="31" t="s">
        <v>11</v>
      </c>
      <c r="C111" s="39" t="s">
        <v>12</v>
      </c>
      <c r="D111" s="29">
        <v>1</v>
      </c>
      <c r="E111" s="29">
        <v>0</v>
      </c>
      <c r="F111" s="20">
        <f t="shared" si="6"/>
        <v>0</v>
      </c>
      <c r="G111" s="29"/>
      <c r="H111" s="20">
        <f t="shared" si="5"/>
        <v>0</v>
      </c>
      <c r="I111" s="29"/>
      <c r="J111" s="20">
        <f t="shared" si="7"/>
        <v>0</v>
      </c>
      <c r="K111" s="20">
        <f t="shared" si="4"/>
        <v>0</v>
      </c>
    </row>
    <row r="112" spans="1:11" ht="20.25" customHeight="1">
      <c r="A112" s="21"/>
      <c r="B112" s="66" t="s">
        <v>113</v>
      </c>
      <c r="C112" s="60"/>
      <c r="D112" s="29"/>
      <c r="E112" s="29"/>
      <c r="F112" s="20">
        <f t="shared" si="6"/>
        <v>0</v>
      </c>
      <c r="G112" s="29"/>
      <c r="H112" s="20">
        <f t="shared" si="5"/>
        <v>0</v>
      </c>
      <c r="I112" s="29"/>
      <c r="J112" s="20">
        <f t="shared" si="7"/>
        <v>0</v>
      </c>
      <c r="K112" s="20">
        <f t="shared" si="4"/>
        <v>0</v>
      </c>
    </row>
    <row r="113" spans="1:12">
      <c r="A113" s="21">
        <v>1</v>
      </c>
      <c r="B113" s="23" t="s">
        <v>101</v>
      </c>
      <c r="C113" s="39" t="s">
        <v>8</v>
      </c>
      <c r="D113" s="29">
        <f>D114+D115+D116+D117+D118+D119</f>
        <v>167.9</v>
      </c>
      <c r="E113" s="29"/>
      <c r="F113" s="20">
        <f t="shared" si="6"/>
        <v>0</v>
      </c>
      <c r="G113" s="29">
        <v>0</v>
      </c>
      <c r="H113" s="20">
        <f t="shared" si="5"/>
        <v>0</v>
      </c>
      <c r="I113" s="29"/>
      <c r="J113" s="20">
        <f t="shared" si="7"/>
        <v>0</v>
      </c>
      <c r="K113" s="20">
        <f t="shared" si="4"/>
        <v>0</v>
      </c>
      <c r="L113" s="42"/>
    </row>
    <row r="114" spans="1:12" ht="18" customHeight="1">
      <c r="A114" s="21"/>
      <c r="B114" s="27" t="s">
        <v>102</v>
      </c>
      <c r="C114" s="39" t="s">
        <v>8</v>
      </c>
      <c r="D114" s="29">
        <f>16*1.89</f>
        <v>30.24</v>
      </c>
      <c r="E114" s="29">
        <v>0</v>
      </c>
      <c r="F114" s="20">
        <f t="shared" si="6"/>
        <v>0</v>
      </c>
      <c r="G114" s="29"/>
      <c r="H114" s="20">
        <f t="shared" si="5"/>
        <v>0</v>
      </c>
      <c r="I114" s="29">
        <v>0</v>
      </c>
      <c r="J114" s="20">
        <f t="shared" si="7"/>
        <v>0</v>
      </c>
      <c r="K114" s="20">
        <f t="shared" si="4"/>
        <v>0</v>
      </c>
      <c r="L114" s="42"/>
    </row>
    <row r="115" spans="1:12" ht="45">
      <c r="A115" s="21"/>
      <c r="B115" s="27" t="s">
        <v>103</v>
      </c>
      <c r="C115" s="39" t="s">
        <v>8</v>
      </c>
      <c r="D115" s="29">
        <f>24*1.89</f>
        <v>45.36</v>
      </c>
      <c r="E115" s="29">
        <v>0</v>
      </c>
      <c r="F115" s="20">
        <f t="shared" si="6"/>
        <v>0</v>
      </c>
      <c r="G115" s="29"/>
      <c r="H115" s="20">
        <f t="shared" si="5"/>
        <v>0</v>
      </c>
      <c r="I115" s="29">
        <v>0</v>
      </c>
      <c r="J115" s="20">
        <f t="shared" si="7"/>
        <v>0</v>
      </c>
      <c r="K115" s="20">
        <f t="shared" si="4"/>
        <v>0</v>
      </c>
      <c r="L115" s="42"/>
    </row>
    <row r="116" spans="1:12" ht="45">
      <c r="A116" s="21"/>
      <c r="B116" s="27" t="s">
        <v>104</v>
      </c>
      <c r="C116" s="39" t="s">
        <v>8</v>
      </c>
      <c r="D116" s="29">
        <f>40*1.995</f>
        <v>79.800000000000011</v>
      </c>
      <c r="E116" s="29">
        <v>0</v>
      </c>
      <c r="F116" s="20">
        <f t="shared" si="6"/>
        <v>0</v>
      </c>
      <c r="G116" s="29"/>
      <c r="H116" s="20">
        <f t="shared" si="5"/>
        <v>0</v>
      </c>
      <c r="I116" s="29">
        <v>0</v>
      </c>
      <c r="J116" s="20">
        <f t="shared" si="7"/>
        <v>0</v>
      </c>
      <c r="K116" s="20">
        <f t="shared" si="4"/>
        <v>0</v>
      </c>
      <c r="L116" s="42"/>
    </row>
    <row r="117" spans="1:12" ht="45">
      <c r="A117" s="21"/>
      <c r="B117" s="27" t="s">
        <v>105</v>
      </c>
      <c r="C117" s="39" t="s">
        <v>8</v>
      </c>
      <c r="D117" s="29">
        <f>1.995*2</f>
        <v>3.99</v>
      </c>
      <c r="E117" s="29">
        <v>0</v>
      </c>
      <c r="F117" s="20">
        <f t="shared" si="6"/>
        <v>0</v>
      </c>
      <c r="G117" s="29"/>
      <c r="H117" s="20">
        <f t="shared" si="5"/>
        <v>0</v>
      </c>
      <c r="I117" s="29">
        <v>0</v>
      </c>
      <c r="J117" s="20">
        <f t="shared" si="7"/>
        <v>0</v>
      </c>
      <c r="K117" s="20">
        <f t="shared" si="4"/>
        <v>0</v>
      </c>
      <c r="L117" s="42"/>
    </row>
    <row r="118" spans="1:12" ht="45">
      <c r="A118" s="21"/>
      <c r="B118" s="27" t="s">
        <v>106</v>
      </c>
      <c r="C118" s="39" t="s">
        <v>8</v>
      </c>
      <c r="D118" s="29">
        <f>2.625*2</f>
        <v>5.25</v>
      </c>
      <c r="E118" s="29">
        <v>0</v>
      </c>
      <c r="F118" s="20">
        <f t="shared" si="6"/>
        <v>0</v>
      </c>
      <c r="G118" s="29"/>
      <c r="H118" s="20">
        <f t="shared" si="5"/>
        <v>0</v>
      </c>
      <c r="I118" s="29">
        <v>0</v>
      </c>
      <c r="J118" s="20">
        <f t="shared" si="7"/>
        <v>0</v>
      </c>
      <c r="K118" s="20">
        <f t="shared" si="4"/>
        <v>0</v>
      </c>
      <c r="L118" s="42"/>
    </row>
    <row r="119" spans="1:12" ht="45">
      <c r="A119" s="21"/>
      <c r="B119" s="27" t="s">
        <v>107</v>
      </c>
      <c r="C119" s="39" t="s">
        <v>8</v>
      </c>
      <c r="D119" s="29">
        <v>3.26</v>
      </c>
      <c r="E119" s="29">
        <v>0</v>
      </c>
      <c r="F119" s="20">
        <f t="shared" si="6"/>
        <v>0</v>
      </c>
      <c r="G119" s="29"/>
      <c r="H119" s="20">
        <f t="shared" si="5"/>
        <v>0</v>
      </c>
      <c r="I119" s="29">
        <v>0</v>
      </c>
      <c r="J119" s="20">
        <f t="shared" si="7"/>
        <v>0</v>
      </c>
      <c r="K119" s="20">
        <f t="shared" si="4"/>
        <v>0</v>
      </c>
      <c r="L119" s="42"/>
    </row>
    <row r="120" spans="1:12" ht="30">
      <c r="A120" s="21">
        <v>2</v>
      </c>
      <c r="B120" s="23" t="s">
        <v>110</v>
      </c>
      <c r="C120" s="39" t="s">
        <v>8</v>
      </c>
      <c r="D120" s="29">
        <v>2.63</v>
      </c>
      <c r="E120" s="29">
        <v>0</v>
      </c>
      <c r="F120" s="20">
        <f t="shared" si="6"/>
        <v>0</v>
      </c>
      <c r="G120" s="29"/>
      <c r="H120" s="20">
        <f t="shared" si="5"/>
        <v>0</v>
      </c>
      <c r="I120" s="29">
        <v>0</v>
      </c>
      <c r="J120" s="20">
        <f t="shared" si="7"/>
        <v>0</v>
      </c>
      <c r="K120" s="20">
        <f t="shared" si="4"/>
        <v>0</v>
      </c>
      <c r="L120" s="42"/>
    </row>
    <row r="121" spans="1:12" ht="25.5" customHeight="1">
      <c r="A121" s="21">
        <v>3</v>
      </c>
      <c r="B121" s="23" t="s">
        <v>117</v>
      </c>
      <c r="C121" s="39" t="s">
        <v>8</v>
      </c>
      <c r="D121" s="29">
        <v>0.8</v>
      </c>
      <c r="E121" s="29">
        <v>0</v>
      </c>
      <c r="F121" s="20">
        <f t="shared" si="6"/>
        <v>0</v>
      </c>
      <c r="G121" s="29">
        <v>0</v>
      </c>
      <c r="H121" s="20">
        <f t="shared" si="5"/>
        <v>0</v>
      </c>
      <c r="I121" s="29">
        <v>0</v>
      </c>
      <c r="J121" s="20">
        <f t="shared" si="7"/>
        <v>0</v>
      </c>
      <c r="K121" s="20">
        <f t="shared" si="4"/>
        <v>0</v>
      </c>
      <c r="L121" s="42"/>
    </row>
    <row r="122" spans="1:12" ht="30">
      <c r="A122" s="21">
        <v>4</v>
      </c>
      <c r="B122" s="23" t="s">
        <v>111</v>
      </c>
      <c r="C122" s="39" t="s">
        <v>8</v>
      </c>
      <c r="D122" s="29">
        <f>D123+D124+D125</f>
        <v>29.220000000000002</v>
      </c>
      <c r="E122" s="29"/>
      <c r="F122" s="20">
        <f t="shared" si="6"/>
        <v>0</v>
      </c>
      <c r="G122" s="29">
        <v>0</v>
      </c>
      <c r="H122" s="20">
        <f t="shared" si="5"/>
        <v>0</v>
      </c>
      <c r="I122" s="29"/>
      <c r="J122" s="20">
        <f t="shared" si="7"/>
        <v>0</v>
      </c>
      <c r="K122" s="20">
        <f t="shared" si="4"/>
        <v>0</v>
      </c>
      <c r="L122" s="42"/>
    </row>
    <row r="123" spans="1:12" ht="30">
      <c r="A123" s="21"/>
      <c r="B123" s="27" t="s">
        <v>120</v>
      </c>
      <c r="C123" s="39" t="s">
        <v>8</v>
      </c>
      <c r="D123" s="29">
        <f>2*2.7</f>
        <v>5.4</v>
      </c>
      <c r="E123" s="29">
        <v>0</v>
      </c>
      <c r="F123" s="20">
        <f t="shared" si="6"/>
        <v>0</v>
      </c>
      <c r="G123" s="29"/>
      <c r="H123" s="20">
        <f t="shared" si="5"/>
        <v>0</v>
      </c>
      <c r="I123" s="29">
        <v>0</v>
      </c>
      <c r="J123" s="20">
        <f t="shared" si="7"/>
        <v>0</v>
      </c>
      <c r="K123" s="20">
        <f t="shared" si="4"/>
        <v>0</v>
      </c>
      <c r="L123" s="42"/>
    </row>
    <row r="124" spans="1:12" ht="48" customHeight="1">
      <c r="A124" s="21"/>
      <c r="B124" s="27" t="s">
        <v>119</v>
      </c>
      <c r="C124" s="39" t="s">
        <v>8</v>
      </c>
      <c r="D124" s="29">
        <f>5.54*3</f>
        <v>16.62</v>
      </c>
      <c r="E124" s="29">
        <v>0</v>
      </c>
      <c r="F124" s="20">
        <f t="shared" si="6"/>
        <v>0</v>
      </c>
      <c r="G124" s="29"/>
      <c r="H124" s="20">
        <f t="shared" si="5"/>
        <v>0</v>
      </c>
      <c r="I124" s="29">
        <v>0</v>
      </c>
      <c r="J124" s="20">
        <f t="shared" si="7"/>
        <v>0</v>
      </c>
      <c r="K124" s="20">
        <f t="shared" si="4"/>
        <v>0</v>
      </c>
      <c r="L124" s="42"/>
    </row>
    <row r="125" spans="1:12" ht="33.75" customHeight="1">
      <c r="A125" s="21"/>
      <c r="B125" s="27" t="s">
        <v>118</v>
      </c>
      <c r="C125" s="39" t="s">
        <v>8</v>
      </c>
      <c r="D125" s="29">
        <v>7.2</v>
      </c>
      <c r="E125" s="29">
        <v>0</v>
      </c>
      <c r="F125" s="20">
        <f t="shared" si="6"/>
        <v>0</v>
      </c>
      <c r="G125" s="29"/>
      <c r="H125" s="20">
        <f t="shared" si="5"/>
        <v>0</v>
      </c>
      <c r="I125" s="29">
        <v>0</v>
      </c>
      <c r="J125" s="20">
        <f t="shared" si="7"/>
        <v>0</v>
      </c>
      <c r="K125" s="20">
        <f t="shared" si="4"/>
        <v>0</v>
      </c>
      <c r="L125" s="42"/>
    </row>
    <row r="126" spans="1:12">
      <c r="A126" s="21">
        <v>4</v>
      </c>
      <c r="B126" s="23" t="s">
        <v>112</v>
      </c>
      <c r="C126" s="53" t="s">
        <v>8</v>
      </c>
      <c r="D126" s="29">
        <f>D127+D128</f>
        <v>52.000000000000007</v>
      </c>
      <c r="E126" s="29"/>
      <c r="F126" s="20">
        <f t="shared" si="6"/>
        <v>0</v>
      </c>
      <c r="G126" s="29">
        <v>0</v>
      </c>
      <c r="H126" s="20">
        <f t="shared" si="5"/>
        <v>0</v>
      </c>
      <c r="I126" s="29"/>
      <c r="J126" s="20">
        <f t="shared" si="7"/>
        <v>0</v>
      </c>
      <c r="K126" s="20">
        <f t="shared" si="4"/>
        <v>0</v>
      </c>
    </row>
    <row r="127" spans="1:12" ht="30">
      <c r="A127" s="21"/>
      <c r="B127" s="27" t="s">
        <v>114</v>
      </c>
      <c r="C127" s="39" t="s">
        <v>8</v>
      </c>
      <c r="D127" s="29">
        <f>19*2.7</f>
        <v>51.300000000000004</v>
      </c>
      <c r="E127" s="29">
        <v>0</v>
      </c>
      <c r="F127" s="20">
        <f t="shared" si="6"/>
        <v>0</v>
      </c>
      <c r="G127" s="29"/>
      <c r="H127" s="20">
        <f t="shared" si="5"/>
        <v>0</v>
      </c>
      <c r="I127" s="29">
        <v>0</v>
      </c>
      <c r="J127" s="20">
        <f t="shared" si="7"/>
        <v>0</v>
      </c>
      <c r="K127" s="20">
        <f t="shared" si="4"/>
        <v>0</v>
      </c>
    </row>
    <row r="128" spans="1:12" ht="30">
      <c r="A128" s="21"/>
      <c r="B128" s="27" t="s">
        <v>115</v>
      </c>
      <c r="C128" s="39" t="s">
        <v>8</v>
      </c>
      <c r="D128" s="29">
        <v>0.7</v>
      </c>
      <c r="E128" s="29">
        <v>0</v>
      </c>
      <c r="F128" s="20">
        <f t="shared" si="6"/>
        <v>0</v>
      </c>
      <c r="G128" s="29"/>
      <c r="H128" s="20">
        <f t="shared" si="5"/>
        <v>0</v>
      </c>
      <c r="I128" s="29">
        <v>0</v>
      </c>
      <c r="J128" s="20">
        <f t="shared" si="7"/>
        <v>0</v>
      </c>
      <c r="K128" s="20">
        <f t="shared" si="4"/>
        <v>0</v>
      </c>
    </row>
    <row r="129" spans="1:11">
      <c r="A129" s="21">
        <v>5</v>
      </c>
      <c r="B129" s="23" t="s">
        <v>121</v>
      </c>
      <c r="C129" s="39" t="s">
        <v>8</v>
      </c>
      <c r="D129" s="29">
        <v>12</v>
      </c>
      <c r="E129" s="29">
        <v>0</v>
      </c>
      <c r="F129" s="20">
        <f t="shared" si="6"/>
        <v>0</v>
      </c>
      <c r="G129" s="29">
        <v>0</v>
      </c>
      <c r="H129" s="20">
        <f t="shared" si="5"/>
        <v>0</v>
      </c>
      <c r="I129" s="29">
        <v>0</v>
      </c>
      <c r="J129" s="20">
        <f t="shared" si="7"/>
        <v>0</v>
      </c>
      <c r="K129" s="20">
        <f t="shared" si="4"/>
        <v>0</v>
      </c>
    </row>
    <row r="130" spans="1:11" ht="29.25" customHeight="1">
      <c r="A130" s="21"/>
      <c r="B130" s="68" t="s">
        <v>122</v>
      </c>
      <c r="C130" s="39"/>
      <c r="D130" s="29"/>
      <c r="E130" s="29"/>
      <c r="F130" s="20">
        <f t="shared" si="6"/>
        <v>0</v>
      </c>
      <c r="G130" s="29"/>
      <c r="H130" s="20">
        <f t="shared" si="5"/>
        <v>0</v>
      </c>
      <c r="I130" s="29"/>
      <c r="J130" s="20">
        <f t="shared" si="7"/>
        <v>0</v>
      </c>
      <c r="K130" s="20">
        <f t="shared" si="4"/>
        <v>0</v>
      </c>
    </row>
    <row r="131" spans="1:11" ht="30">
      <c r="A131" s="21">
        <v>1</v>
      </c>
      <c r="B131" s="23" t="s">
        <v>45</v>
      </c>
      <c r="C131" s="39" t="s">
        <v>8</v>
      </c>
      <c r="D131" s="29">
        <f>607+723+94+908+97+991+61+715</f>
        <v>4196</v>
      </c>
      <c r="E131" s="29"/>
      <c r="F131" s="20">
        <f t="shared" si="6"/>
        <v>0</v>
      </c>
      <c r="G131" s="29">
        <v>0</v>
      </c>
      <c r="H131" s="20">
        <f t="shared" si="5"/>
        <v>0</v>
      </c>
      <c r="I131" s="29"/>
      <c r="J131" s="20">
        <f t="shared" si="7"/>
        <v>0</v>
      </c>
      <c r="K131" s="20">
        <f t="shared" si="4"/>
        <v>0</v>
      </c>
    </row>
    <row r="132" spans="1:11">
      <c r="A132" s="21"/>
      <c r="B132" s="24" t="s">
        <v>22</v>
      </c>
      <c r="C132" s="39" t="s">
        <v>13</v>
      </c>
      <c r="D132" s="29">
        <f>D131*0.8</f>
        <v>3356.8</v>
      </c>
      <c r="E132" s="29">
        <v>0</v>
      </c>
      <c r="F132" s="20">
        <f t="shared" si="6"/>
        <v>0</v>
      </c>
      <c r="G132" s="29"/>
      <c r="H132" s="20">
        <f t="shared" si="5"/>
        <v>0</v>
      </c>
      <c r="I132" s="29">
        <v>0</v>
      </c>
      <c r="J132" s="20">
        <f t="shared" si="7"/>
        <v>0</v>
      </c>
      <c r="K132" s="20">
        <f t="shared" si="4"/>
        <v>0</v>
      </c>
    </row>
    <row r="133" spans="1:11">
      <c r="A133" s="21"/>
      <c r="B133" s="24" t="s">
        <v>37</v>
      </c>
      <c r="C133" s="39" t="s">
        <v>13</v>
      </c>
      <c r="D133" s="29">
        <f>D131*0.35</f>
        <v>1468.6</v>
      </c>
      <c r="E133" s="29">
        <v>0</v>
      </c>
      <c r="F133" s="20">
        <f t="shared" si="6"/>
        <v>0</v>
      </c>
      <c r="G133" s="29"/>
      <c r="H133" s="20">
        <f t="shared" si="5"/>
        <v>0</v>
      </c>
      <c r="I133" s="29">
        <v>0</v>
      </c>
      <c r="J133" s="20">
        <f t="shared" si="7"/>
        <v>0</v>
      </c>
      <c r="K133" s="20">
        <f t="shared" si="4"/>
        <v>0</v>
      </c>
    </row>
    <row r="134" spans="1:11">
      <c r="A134" s="21"/>
      <c r="B134" s="24" t="s">
        <v>116</v>
      </c>
      <c r="C134" s="39" t="s">
        <v>13</v>
      </c>
      <c r="D134" s="29">
        <f>D131*0.1</f>
        <v>419.6</v>
      </c>
      <c r="E134" s="29">
        <v>0</v>
      </c>
      <c r="F134" s="20">
        <f t="shared" si="6"/>
        <v>0</v>
      </c>
      <c r="G134" s="29"/>
      <c r="H134" s="20">
        <f t="shared" si="5"/>
        <v>0</v>
      </c>
      <c r="I134" s="29">
        <v>0</v>
      </c>
      <c r="J134" s="20">
        <f t="shared" si="7"/>
        <v>0</v>
      </c>
      <c r="K134" s="20">
        <f t="shared" si="4"/>
        <v>0</v>
      </c>
    </row>
    <row r="135" spans="1:11">
      <c r="A135" s="21"/>
      <c r="B135" s="24" t="s">
        <v>23</v>
      </c>
      <c r="C135" s="39" t="s">
        <v>8</v>
      </c>
      <c r="D135" s="29">
        <f>D131*0.009</f>
        <v>37.763999999999996</v>
      </c>
      <c r="E135" s="29">
        <v>0</v>
      </c>
      <c r="F135" s="20">
        <f t="shared" si="6"/>
        <v>0</v>
      </c>
      <c r="G135" s="29"/>
      <c r="H135" s="20">
        <f t="shared" si="5"/>
        <v>0</v>
      </c>
      <c r="I135" s="29"/>
      <c r="J135" s="20">
        <f t="shared" si="7"/>
        <v>0</v>
      </c>
      <c r="K135" s="20">
        <f t="shared" si="4"/>
        <v>0</v>
      </c>
    </row>
    <row r="136" spans="1:11">
      <c r="A136" s="21"/>
      <c r="B136" s="24" t="s">
        <v>29</v>
      </c>
      <c r="C136" s="39" t="s">
        <v>10</v>
      </c>
      <c r="D136" s="29">
        <f>D131*0.4</f>
        <v>1678.4</v>
      </c>
      <c r="E136" s="29">
        <v>0</v>
      </c>
      <c r="F136" s="20">
        <f t="shared" si="6"/>
        <v>0</v>
      </c>
      <c r="G136" s="29"/>
      <c r="H136" s="20">
        <f t="shared" si="5"/>
        <v>0</v>
      </c>
      <c r="I136" s="29">
        <v>0</v>
      </c>
      <c r="J136" s="20">
        <f t="shared" si="7"/>
        <v>0</v>
      </c>
      <c r="K136" s="20">
        <f t="shared" si="4"/>
        <v>0</v>
      </c>
    </row>
    <row r="137" spans="1:11">
      <c r="A137" s="21"/>
      <c r="B137" s="24" t="s">
        <v>30</v>
      </c>
      <c r="C137" s="39" t="s">
        <v>10</v>
      </c>
      <c r="D137" s="40">
        <f>D131*0.3</f>
        <v>1258.8</v>
      </c>
      <c r="E137" s="29">
        <v>0</v>
      </c>
      <c r="F137" s="20">
        <f t="shared" si="6"/>
        <v>0</v>
      </c>
      <c r="G137" s="29"/>
      <c r="H137" s="20">
        <f t="shared" si="5"/>
        <v>0</v>
      </c>
      <c r="I137" s="29">
        <v>0</v>
      </c>
      <c r="J137" s="20">
        <f t="shared" si="7"/>
        <v>0</v>
      </c>
      <c r="K137" s="20">
        <f t="shared" si="4"/>
        <v>0</v>
      </c>
    </row>
    <row r="138" spans="1:11">
      <c r="A138" s="21"/>
      <c r="B138" s="24" t="s">
        <v>11</v>
      </c>
      <c r="C138" s="39" t="s">
        <v>12</v>
      </c>
      <c r="D138" s="29">
        <f>D131*0.01</f>
        <v>41.96</v>
      </c>
      <c r="E138" s="29">
        <v>0</v>
      </c>
      <c r="F138" s="20">
        <f t="shared" si="6"/>
        <v>0</v>
      </c>
      <c r="G138" s="29"/>
      <c r="H138" s="20">
        <f t="shared" si="5"/>
        <v>0</v>
      </c>
      <c r="I138" s="29"/>
      <c r="J138" s="20">
        <f t="shared" si="7"/>
        <v>0</v>
      </c>
      <c r="K138" s="20">
        <f t="shared" si="4"/>
        <v>0</v>
      </c>
    </row>
    <row r="139" spans="1:11" ht="30">
      <c r="A139" s="21">
        <v>2</v>
      </c>
      <c r="B139" s="27" t="s">
        <v>123</v>
      </c>
      <c r="C139" s="39" t="s">
        <v>8</v>
      </c>
      <c r="D139" s="29">
        <v>18</v>
      </c>
      <c r="E139" s="29">
        <v>0</v>
      </c>
      <c r="F139" s="20">
        <f t="shared" si="6"/>
        <v>0</v>
      </c>
      <c r="G139" s="29">
        <v>0</v>
      </c>
      <c r="H139" s="20">
        <f t="shared" si="5"/>
        <v>0</v>
      </c>
      <c r="I139" s="29">
        <v>0</v>
      </c>
      <c r="J139" s="20">
        <f t="shared" si="7"/>
        <v>0</v>
      </c>
      <c r="K139" s="20">
        <f t="shared" si="4"/>
        <v>0</v>
      </c>
    </row>
    <row r="140" spans="1:11" ht="18" customHeight="1">
      <c r="A140" s="21"/>
      <c r="B140" s="68" t="s">
        <v>297</v>
      </c>
      <c r="C140" s="39"/>
      <c r="D140" s="29"/>
      <c r="E140" s="29"/>
      <c r="F140" s="20">
        <f t="shared" si="6"/>
        <v>0</v>
      </c>
      <c r="G140" s="29"/>
      <c r="H140" s="20">
        <f t="shared" si="5"/>
        <v>0</v>
      </c>
      <c r="I140" s="29"/>
      <c r="J140" s="20">
        <f t="shared" si="7"/>
        <v>0</v>
      </c>
      <c r="K140" s="20">
        <f t="shared" si="4"/>
        <v>0</v>
      </c>
    </row>
    <row r="141" spans="1:11" ht="50.25" customHeight="1">
      <c r="A141" s="21">
        <v>1</v>
      </c>
      <c r="B141" s="23" t="s">
        <v>144</v>
      </c>
      <c r="C141" s="39" t="s">
        <v>10</v>
      </c>
      <c r="D141" s="29">
        <v>18</v>
      </c>
      <c r="E141" s="29"/>
      <c r="F141" s="20">
        <f t="shared" si="6"/>
        <v>0</v>
      </c>
      <c r="G141" s="29">
        <v>0</v>
      </c>
      <c r="H141" s="20">
        <f t="shared" si="5"/>
        <v>0</v>
      </c>
      <c r="I141" s="29"/>
      <c r="J141" s="20">
        <f t="shared" si="7"/>
        <v>0</v>
      </c>
      <c r="K141" s="20">
        <f t="shared" ref="K141:K162" si="8">J141+H141+F141</f>
        <v>0</v>
      </c>
    </row>
    <row r="142" spans="1:11" ht="18.75" customHeight="1">
      <c r="A142" s="21"/>
      <c r="B142" s="27" t="s">
        <v>142</v>
      </c>
      <c r="C142" s="39" t="s">
        <v>10</v>
      </c>
      <c r="D142" s="29">
        <v>78</v>
      </c>
      <c r="E142" s="29">
        <v>0</v>
      </c>
      <c r="F142" s="20">
        <f t="shared" si="6"/>
        <v>0</v>
      </c>
      <c r="G142" s="29"/>
      <c r="H142" s="20">
        <f t="shared" ref="H142:H162" si="9">G142*D142</f>
        <v>0</v>
      </c>
      <c r="I142" s="29">
        <v>0</v>
      </c>
      <c r="J142" s="20">
        <f t="shared" si="7"/>
        <v>0</v>
      </c>
      <c r="K142" s="20">
        <f t="shared" si="8"/>
        <v>0</v>
      </c>
    </row>
    <row r="143" spans="1:11" ht="18.75" customHeight="1">
      <c r="A143" s="21"/>
      <c r="B143" s="27" t="s">
        <v>146</v>
      </c>
      <c r="C143" s="39" t="s">
        <v>10</v>
      </c>
      <c r="D143" s="29">
        <v>94</v>
      </c>
      <c r="E143" s="29">
        <v>0</v>
      </c>
      <c r="F143" s="20">
        <f t="shared" si="6"/>
        <v>0</v>
      </c>
      <c r="G143" s="29"/>
      <c r="H143" s="20">
        <f t="shared" si="9"/>
        <v>0</v>
      </c>
      <c r="I143" s="29">
        <v>0</v>
      </c>
      <c r="J143" s="20">
        <f t="shared" si="7"/>
        <v>0</v>
      </c>
      <c r="K143" s="20">
        <f t="shared" si="8"/>
        <v>0</v>
      </c>
    </row>
    <row r="144" spans="1:11" ht="18.75" customHeight="1">
      <c r="A144" s="21"/>
      <c r="B144" s="27" t="s">
        <v>143</v>
      </c>
      <c r="C144" s="39" t="s">
        <v>10</v>
      </c>
      <c r="D144" s="29">
        <v>274</v>
      </c>
      <c r="E144" s="29">
        <v>0</v>
      </c>
      <c r="F144" s="20">
        <f t="shared" si="6"/>
        <v>0</v>
      </c>
      <c r="G144" s="29"/>
      <c r="H144" s="20">
        <f t="shared" si="9"/>
        <v>0</v>
      </c>
      <c r="I144" s="29">
        <v>0</v>
      </c>
      <c r="J144" s="20">
        <f t="shared" si="7"/>
        <v>0</v>
      </c>
      <c r="K144" s="20">
        <f t="shared" si="8"/>
        <v>0</v>
      </c>
    </row>
    <row r="145" spans="1:11" ht="18.75" customHeight="1">
      <c r="A145" s="21"/>
      <c r="B145" s="27" t="s">
        <v>145</v>
      </c>
      <c r="C145" s="39" t="s">
        <v>10</v>
      </c>
      <c r="D145" s="29">
        <v>290</v>
      </c>
      <c r="E145" s="29">
        <v>0</v>
      </c>
      <c r="F145" s="20">
        <f t="shared" si="6"/>
        <v>0</v>
      </c>
      <c r="G145" s="29"/>
      <c r="H145" s="20">
        <f t="shared" si="9"/>
        <v>0</v>
      </c>
      <c r="I145" s="29">
        <v>0</v>
      </c>
      <c r="J145" s="20">
        <f t="shared" si="7"/>
        <v>0</v>
      </c>
      <c r="K145" s="20">
        <f t="shared" si="8"/>
        <v>0</v>
      </c>
    </row>
    <row r="146" spans="1:11" ht="18.75" customHeight="1">
      <c r="A146" s="21"/>
      <c r="B146" s="27" t="s">
        <v>147</v>
      </c>
      <c r="C146" s="39" t="s">
        <v>8</v>
      </c>
      <c r="D146" s="29">
        <v>25</v>
      </c>
      <c r="E146" s="29">
        <v>0</v>
      </c>
      <c r="F146" s="20">
        <f t="shared" si="6"/>
        <v>0</v>
      </c>
      <c r="G146" s="29"/>
      <c r="H146" s="20">
        <f t="shared" si="9"/>
        <v>0</v>
      </c>
      <c r="I146" s="29">
        <v>0</v>
      </c>
      <c r="J146" s="20">
        <f t="shared" si="7"/>
        <v>0</v>
      </c>
      <c r="K146" s="20">
        <f t="shared" si="8"/>
        <v>0</v>
      </c>
    </row>
    <row r="147" spans="1:11" ht="18.75" customHeight="1">
      <c r="A147" s="21"/>
      <c r="B147" s="27" t="s">
        <v>148</v>
      </c>
      <c r="C147" s="39" t="s">
        <v>13</v>
      </c>
      <c r="D147" s="29">
        <v>25</v>
      </c>
      <c r="E147" s="29">
        <v>0</v>
      </c>
      <c r="F147" s="20">
        <f t="shared" ref="F147:F162" si="10">E147*D147</f>
        <v>0</v>
      </c>
      <c r="G147" s="29"/>
      <c r="H147" s="20">
        <f t="shared" si="9"/>
        <v>0</v>
      </c>
      <c r="I147" s="29">
        <v>0</v>
      </c>
      <c r="J147" s="20">
        <f t="shared" ref="J147:J162" si="11">I147*D147</f>
        <v>0</v>
      </c>
      <c r="K147" s="20">
        <f t="shared" si="8"/>
        <v>0</v>
      </c>
    </row>
    <row r="148" spans="1:11" ht="18.75" customHeight="1">
      <c r="A148" s="21"/>
      <c r="B148" s="27" t="s">
        <v>149</v>
      </c>
      <c r="C148" s="39" t="s">
        <v>13</v>
      </c>
      <c r="D148" s="29">
        <v>12</v>
      </c>
      <c r="E148" s="29">
        <v>0</v>
      </c>
      <c r="F148" s="20">
        <f t="shared" si="10"/>
        <v>0</v>
      </c>
      <c r="G148" s="29"/>
      <c r="H148" s="20">
        <f t="shared" si="9"/>
        <v>0</v>
      </c>
      <c r="I148" s="29">
        <v>0</v>
      </c>
      <c r="J148" s="20">
        <f t="shared" si="11"/>
        <v>0</v>
      </c>
      <c r="K148" s="20">
        <f t="shared" si="8"/>
        <v>0</v>
      </c>
    </row>
    <row r="149" spans="1:11" ht="18.75" customHeight="1">
      <c r="A149" s="21"/>
      <c r="B149" s="27" t="s">
        <v>150</v>
      </c>
      <c r="C149" s="39" t="s">
        <v>13</v>
      </c>
      <c r="D149" s="29">
        <f>D141*4*0.4</f>
        <v>28.8</v>
      </c>
      <c r="E149" s="29">
        <v>0</v>
      </c>
      <c r="F149" s="20">
        <f t="shared" si="10"/>
        <v>0</v>
      </c>
      <c r="G149" s="29"/>
      <c r="H149" s="20">
        <f t="shared" si="9"/>
        <v>0</v>
      </c>
      <c r="I149" s="29">
        <v>0</v>
      </c>
      <c r="J149" s="20">
        <f t="shared" si="11"/>
        <v>0</v>
      </c>
      <c r="K149" s="20">
        <f t="shared" si="8"/>
        <v>0</v>
      </c>
    </row>
    <row r="150" spans="1:11" ht="18.75" customHeight="1">
      <c r="A150" s="21"/>
      <c r="B150" s="27" t="s">
        <v>151</v>
      </c>
      <c r="C150" s="39" t="s">
        <v>152</v>
      </c>
      <c r="D150" s="29">
        <f>D149*0.4</f>
        <v>11.520000000000001</v>
      </c>
      <c r="E150" s="29">
        <v>0</v>
      </c>
      <c r="F150" s="20">
        <f t="shared" si="10"/>
        <v>0</v>
      </c>
      <c r="G150" s="29"/>
      <c r="H150" s="20">
        <f t="shared" si="9"/>
        <v>0</v>
      </c>
      <c r="I150" s="29">
        <v>0</v>
      </c>
      <c r="J150" s="20">
        <f t="shared" si="11"/>
        <v>0</v>
      </c>
      <c r="K150" s="20">
        <f t="shared" si="8"/>
        <v>0</v>
      </c>
    </row>
    <row r="151" spans="1:11" ht="18.75" customHeight="1">
      <c r="A151" s="21"/>
      <c r="B151" s="27" t="s">
        <v>153</v>
      </c>
      <c r="C151" s="39" t="s">
        <v>13</v>
      </c>
      <c r="D151" s="29">
        <f>D141*3</f>
        <v>54</v>
      </c>
      <c r="E151" s="29">
        <v>0</v>
      </c>
      <c r="F151" s="20">
        <f t="shared" si="10"/>
        <v>0</v>
      </c>
      <c r="G151" s="29"/>
      <c r="H151" s="20">
        <f t="shared" si="9"/>
        <v>0</v>
      </c>
      <c r="I151" s="29">
        <v>0</v>
      </c>
      <c r="J151" s="20">
        <f t="shared" si="11"/>
        <v>0</v>
      </c>
      <c r="K151" s="20">
        <f t="shared" si="8"/>
        <v>0</v>
      </c>
    </row>
    <row r="152" spans="1:11" ht="18.75" customHeight="1">
      <c r="A152" s="21"/>
      <c r="B152" s="27" t="s">
        <v>127</v>
      </c>
      <c r="C152" s="39" t="s">
        <v>12</v>
      </c>
      <c r="D152" s="29">
        <f>D141*4</f>
        <v>72</v>
      </c>
      <c r="E152" s="29">
        <v>0</v>
      </c>
      <c r="F152" s="20">
        <f t="shared" si="10"/>
        <v>0</v>
      </c>
      <c r="G152" s="29"/>
      <c r="H152" s="20">
        <f t="shared" si="9"/>
        <v>0</v>
      </c>
      <c r="I152" s="29"/>
      <c r="J152" s="20">
        <f t="shared" si="11"/>
        <v>0</v>
      </c>
      <c r="K152" s="20">
        <f t="shared" si="8"/>
        <v>0</v>
      </c>
    </row>
    <row r="153" spans="1:11" ht="18.75" customHeight="1">
      <c r="A153" s="21">
        <v>2</v>
      </c>
      <c r="B153" s="23" t="s">
        <v>154</v>
      </c>
      <c r="C153" s="39" t="s">
        <v>8</v>
      </c>
      <c r="D153" s="29">
        <v>22</v>
      </c>
      <c r="E153" s="29"/>
      <c r="F153" s="20">
        <f t="shared" si="10"/>
        <v>0</v>
      </c>
      <c r="G153" s="29">
        <v>0</v>
      </c>
      <c r="H153" s="20">
        <f t="shared" si="9"/>
        <v>0</v>
      </c>
      <c r="I153" s="29"/>
      <c r="J153" s="20">
        <f t="shared" si="11"/>
        <v>0</v>
      </c>
      <c r="K153" s="20">
        <f t="shared" si="8"/>
        <v>0</v>
      </c>
    </row>
    <row r="154" spans="1:11" ht="18.75" customHeight="1">
      <c r="A154" s="21"/>
      <c r="B154" s="27" t="s">
        <v>155</v>
      </c>
      <c r="C154" s="14" t="s">
        <v>39</v>
      </c>
      <c r="D154" s="29">
        <f>D153*0.25</f>
        <v>5.5</v>
      </c>
      <c r="E154" s="29">
        <v>0</v>
      </c>
      <c r="F154" s="20">
        <f t="shared" si="10"/>
        <v>0</v>
      </c>
      <c r="G154" s="29"/>
      <c r="H154" s="20">
        <f t="shared" si="9"/>
        <v>0</v>
      </c>
      <c r="I154" s="29">
        <v>0</v>
      </c>
      <c r="J154" s="20">
        <f t="shared" si="11"/>
        <v>0</v>
      </c>
      <c r="K154" s="20">
        <f t="shared" si="8"/>
        <v>0</v>
      </c>
    </row>
    <row r="155" spans="1:11" ht="18.75" customHeight="1">
      <c r="A155" s="21"/>
      <c r="B155" s="27" t="s">
        <v>158</v>
      </c>
      <c r="C155" s="14" t="s">
        <v>39</v>
      </c>
      <c r="D155" s="29">
        <v>15</v>
      </c>
      <c r="E155" s="29">
        <v>0</v>
      </c>
      <c r="F155" s="20">
        <f t="shared" si="10"/>
        <v>0</v>
      </c>
      <c r="G155" s="29"/>
      <c r="H155" s="20">
        <f t="shared" si="9"/>
        <v>0</v>
      </c>
      <c r="I155" s="29">
        <v>0</v>
      </c>
      <c r="J155" s="20">
        <f t="shared" si="11"/>
        <v>0</v>
      </c>
      <c r="K155" s="20">
        <f t="shared" si="8"/>
        <v>0</v>
      </c>
    </row>
    <row r="156" spans="1:11" ht="18.75" customHeight="1">
      <c r="A156" s="21"/>
      <c r="B156" s="27" t="s">
        <v>156</v>
      </c>
      <c r="C156" s="39" t="s">
        <v>8</v>
      </c>
      <c r="D156" s="29">
        <f>D153*1.9</f>
        <v>41.8</v>
      </c>
      <c r="E156" s="29">
        <v>0</v>
      </c>
      <c r="F156" s="20">
        <f t="shared" si="10"/>
        <v>0</v>
      </c>
      <c r="G156" s="29"/>
      <c r="H156" s="20">
        <f t="shared" si="9"/>
        <v>0</v>
      </c>
      <c r="I156" s="29">
        <v>0</v>
      </c>
      <c r="J156" s="20">
        <f t="shared" si="11"/>
        <v>0</v>
      </c>
      <c r="K156" s="20">
        <f t="shared" si="8"/>
        <v>0</v>
      </c>
    </row>
    <row r="157" spans="1:11" ht="18.75" customHeight="1">
      <c r="A157" s="21"/>
      <c r="B157" s="27" t="s">
        <v>157</v>
      </c>
      <c r="C157" s="39" t="s">
        <v>13</v>
      </c>
      <c r="D157" s="29">
        <f>D156*6</f>
        <v>250.79999999999998</v>
      </c>
      <c r="E157" s="29">
        <v>0</v>
      </c>
      <c r="F157" s="20">
        <f t="shared" si="10"/>
        <v>0</v>
      </c>
      <c r="G157" s="29"/>
      <c r="H157" s="20">
        <f t="shared" si="9"/>
        <v>0</v>
      </c>
      <c r="I157" s="29">
        <v>0</v>
      </c>
      <c r="J157" s="20">
        <f t="shared" si="11"/>
        <v>0</v>
      </c>
      <c r="K157" s="20">
        <f t="shared" si="8"/>
        <v>0</v>
      </c>
    </row>
    <row r="158" spans="1:11" ht="18.75" customHeight="1">
      <c r="A158" s="21"/>
      <c r="B158" s="27" t="s">
        <v>127</v>
      </c>
      <c r="C158" s="39" t="s">
        <v>12</v>
      </c>
      <c r="D158" s="29">
        <f>D153*0.4</f>
        <v>8.8000000000000007</v>
      </c>
      <c r="E158" s="29">
        <v>0</v>
      </c>
      <c r="F158" s="20">
        <f t="shared" si="10"/>
        <v>0</v>
      </c>
      <c r="G158" s="29"/>
      <c r="H158" s="20">
        <f t="shared" si="9"/>
        <v>0</v>
      </c>
      <c r="I158" s="29"/>
      <c r="J158" s="20">
        <f t="shared" si="11"/>
        <v>0</v>
      </c>
      <c r="K158" s="20">
        <f t="shared" si="8"/>
        <v>0</v>
      </c>
    </row>
    <row r="159" spans="1:11" ht="18.75" customHeight="1">
      <c r="A159" s="21">
        <v>3</v>
      </c>
      <c r="B159" s="23" t="s">
        <v>298</v>
      </c>
      <c r="C159" s="39"/>
      <c r="D159" s="29"/>
      <c r="E159" s="29"/>
      <c r="F159" s="20">
        <f t="shared" si="10"/>
        <v>0</v>
      </c>
      <c r="G159" s="29"/>
      <c r="H159" s="20">
        <f t="shared" si="9"/>
        <v>0</v>
      </c>
      <c r="I159" s="29"/>
      <c r="J159" s="20">
        <f t="shared" si="11"/>
        <v>0</v>
      </c>
      <c r="K159" s="20">
        <f t="shared" si="8"/>
        <v>0</v>
      </c>
    </row>
    <row r="160" spans="1:11" ht="18.75" customHeight="1">
      <c r="A160" s="21"/>
      <c r="B160" s="27" t="s">
        <v>300</v>
      </c>
      <c r="C160" s="39" t="s">
        <v>8</v>
      </c>
      <c r="D160" s="29">
        <v>14</v>
      </c>
      <c r="E160" s="29">
        <v>0</v>
      </c>
      <c r="F160" s="20">
        <f t="shared" si="10"/>
        <v>0</v>
      </c>
      <c r="G160" s="29">
        <v>0</v>
      </c>
      <c r="H160" s="20">
        <f t="shared" si="9"/>
        <v>0</v>
      </c>
      <c r="I160" s="29">
        <v>0</v>
      </c>
      <c r="J160" s="20">
        <f t="shared" si="11"/>
        <v>0</v>
      </c>
      <c r="K160" s="20">
        <f t="shared" si="8"/>
        <v>0</v>
      </c>
    </row>
    <row r="161" spans="1:11" ht="18.75" customHeight="1">
      <c r="A161" s="21"/>
      <c r="B161" s="27" t="s">
        <v>299</v>
      </c>
      <c r="C161" s="39" t="s">
        <v>8</v>
      </c>
      <c r="D161" s="29">
        <v>6</v>
      </c>
      <c r="E161" s="29">
        <v>0</v>
      </c>
      <c r="F161" s="20">
        <f t="shared" si="10"/>
        <v>0</v>
      </c>
      <c r="G161" s="29">
        <v>0</v>
      </c>
      <c r="H161" s="20">
        <f t="shared" si="9"/>
        <v>0</v>
      </c>
      <c r="I161" s="29">
        <v>0</v>
      </c>
      <c r="J161" s="20">
        <f t="shared" si="11"/>
        <v>0</v>
      </c>
      <c r="K161" s="20">
        <f t="shared" si="8"/>
        <v>0</v>
      </c>
    </row>
    <row r="162" spans="1:11" ht="18.75" customHeight="1">
      <c r="A162" s="21"/>
      <c r="B162" s="27" t="s">
        <v>127</v>
      </c>
      <c r="C162" s="39" t="s">
        <v>12</v>
      </c>
      <c r="D162" s="29">
        <f>(D161+D160)*0.75</f>
        <v>15</v>
      </c>
      <c r="E162" s="29">
        <v>0</v>
      </c>
      <c r="F162" s="20">
        <f t="shared" si="10"/>
        <v>0</v>
      </c>
      <c r="G162" s="29"/>
      <c r="H162" s="20">
        <f t="shared" si="9"/>
        <v>0</v>
      </c>
      <c r="I162" s="29"/>
      <c r="J162" s="20">
        <f t="shared" si="11"/>
        <v>0</v>
      </c>
      <c r="K162" s="20">
        <f t="shared" si="8"/>
        <v>0</v>
      </c>
    </row>
    <row r="163" spans="1:11" ht="15.75">
      <c r="A163" s="6"/>
      <c r="B163" s="63" t="s">
        <v>6</v>
      </c>
      <c r="C163" s="14"/>
      <c r="D163" s="20"/>
      <c r="E163" s="20"/>
      <c r="F163" s="20">
        <f>SUM(F13:F162)</f>
        <v>0</v>
      </c>
      <c r="G163" s="20"/>
      <c r="H163" s="20">
        <f>SUM(H13:H162)</f>
        <v>0</v>
      </c>
      <c r="I163" s="20"/>
      <c r="J163" s="20">
        <f>SUM(J13:J162)</f>
        <v>0</v>
      </c>
      <c r="K163" s="37">
        <f>SUM(K13:K162)</f>
        <v>0</v>
      </c>
    </row>
    <row r="164" spans="1:11" ht="15.75">
      <c r="A164" s="7"/>
      <c r="B164" s="61" t="s">
        <v>14</v>
      </c>
      <c r="C164" s="54">
        <v>0.05</v>
      </c>
      <c r="D164" s="26"/>
      <c r="E164" s="10"/>
      <c r="F164" s="26"/>
      <c r="G164" s="26"/>
      <c r="H164" s="26"/>
      <c r="I164" s="26"/>
      <c r="J164" s="10"/>
      <c r="K164" s="26">
        <f>F163*C164</f>
        <v>0</v>
      </c>
    </row>
    <row r="165" spans="1:11" ht="15.75">
      <c r="A165" s="7"/>
      <c r="B165" s="61" t="s">
        <v>6</v>
      </c>
      <c r="C165" s="55"/>
      <c r="D165" s="26"/>
      <c r="E165" s="10"/>
      <c r="F165" s="10"/>
      <c r="G165" s="26"/>
      <c r="H165" s="26"/>
      <c r="I165" s="26"/>
      <c r="J165" s="10"/>
      <c r="K165" s="26">
        <f>K163+K164</f>
        <v>0</v>
      </c>
    </row>
    <row r="166" spans="1:11" ht="15.75">
      <c r="A166" s="7"/>
      <c r="B166" s="61" t="s">
        <v>15</v>
      </c>
      <c r="C166" s="54">
        <v>0.1</v>
      </c>
      <c r="D166" s="26"/>
      <c r="E166" s="10"/>
      <c r="F166" s="10"/>
      <c r="G166" s="26"/>
      <c r="H166" s="26"/>
      <c r="I166" s="26"/>
      <c r="J166" s="10"/>
      <c r="K166" s="26">
        <f>K165*C166</f>
        <v>0</v>
      </c>
    </row>
    <row r="167" spans="1:11" ht="15.75">
      <c r="A167" s="7"/>
      <c r="B167" s="61" t="s">
        <v>6</v>
      </c>
      <c r="C167" s="55"/>
      <c r="D167" s="26"/>
      <c r="E167" s="10"/>
      <c r="F167" s="10"/>
      <c r="G167" s="26"/>
      <c r="H167" s="26"/>
      <c r="I167" s="26"/>
      <c r="J167" s="10"/>
      <c r="K167" s="26">
        <f>K166+K165</f>
        <v>0</v>
      </c>
    </row>
    <row r="168" spans="1:11" ht="15.75">
      <c r="A168" s="7"/>
      <c r="B168" s="61" t="s">
        <v>16</v>
      </c>
      <c r="C168" s="54">
        <v>0.08</v>
      </c>
      <c r="D168" s="26"/>
      <c r="E168" s="10"/>
      <c r="F168" s="10"/>
      <c r="G168" s="26"/>
      <c r="H168" s="26"/>
      <c r="I168" s="26"/>
      <c r="J168" s="10"/>
      <c r="K168" s="26">
        <f>K167*C168</f>
        <v>0</v>
      </c>
    </row>
    <row r="169" spans="1:11" ht="15.75">
      <c r="A169" s="8"/>
      <c r="B169" s="61" t="s">
        <v>6</v>
      </c>
      <c r="C169" s="55"/>
      <c r="D169" s="26"/>
      <c r="E169" s="10"/>
      <c r="F169" s="10"/>
      <c r="G169" s="26"/>
      <c r="H169" s="26"/>
      <c r="I169" s="26"/>
      <c r="J169" s="10"/>
      <c r="K169" s="26">
        <f>K168+K167</f>
        <v>0</v>
      </c>
    </row>
    <row r="170" spans="1:11" ht="15.75">
      <c r="A170" s="8"/>
      <c r="B170" s="61" t="s">
        <v>20</v>
      </c>
      <c r="C170" s="54">
        <v>0.03</v>
      </c>
      <c r="D170" s="26"/>
      <c r="E170" s="10"/>
      <c r="F170" s="10"/>
      <c r="G170" s="26"/>
      <c r="H170" s="26"/>
      <c r="I170" s="26"/>
      <c r="J170" s="10"/>
      <c r="K170" s="26">
        <f>K169*C170</f>
        <v>0</v>
      </c>
    </row>
    <row r="171" spans="1:11" ht="15.75">
      <c r="A171" s="8"/>
      <c r="B171" s="61" t="s">
        <v>24</v>
      </c>
      <c r="C171" s="54">
        <v>0.02</v>
      </c>
      <c r="D171" s="26"/>
      <c r="E171" s="10"/>
      <c r="F171" s="10"/>
      <c r="G171" s="26"/>
      <c r="H171" s="26"/>
      <c r="I171" s="26"/>
      <c r="J171" s="10"/>
      <c r="K171" s="26">
        <f>H163*C171</f>
        <v>0</v>
      </c>
    </row>
    <row r="172" spans="1:11" ht="15.75">
      <c r="A172" s="8"/>
      <c r="B172" s="61" t="s">
        <v>6</v>
      </c>
      <c r="C172" s="55"/>
      <c r="D172" s="26"/>
      <c r="E172" s="10"/>
      <c r="F172" s="10"/>
      <c r="G172" s="26"/>
      <c r="H172" s="26"/>
      <c r="I172" s="26"/>
      <c r="J172" s="10"/>
      <c r="K172" s="26">
        <f>K171+K170+K169</f>
        <v>0</v>
      </c>
    </row>
    <row r="173" spans="1:11">
      <c r="A173" s="7"/>
      <c r="B173" s="62" t="s">
        <v>17</v>
      </c>
      <c r="C173" s="54">
        <v>0.18</v>
      </c>
      <c r="D173" s="26"/>
      <c r="E173" s="10"/>
      <c r="F173" s="10"/>
      <c r="G173" s="10"/>
      <c r="H173" s="10"/>
      <c r="I173" s="10"/>
      <c r="J173" s="10"/>
      <c r="K173" s="26">
        <f>K172*0.18</f>
        <v>0</v>
      </c>
    </row>
    <row r="174" spans="1:11" ht="15.75">
      <c r="A174" s="6"/>
      <c r="B174" s="64" t="s">
        <v>18</v>
      </c>
      <c r="C174" s="14"/>
      <c r="D174" s="6"/>
      <c r="E174" s="6"/>
      <c r="F174" s="6"/>
      <c r="G174" s="6"/>
      <c r="H174" s="6"/>
      <c r="I174" s="6"/>
      <c r="J174" s="6"/>
      <c r="K174" s="37">
        <f>K173+K172</f>
        <v>0</v>
      </c>
    </row>
    <row r="175" spans="1:11" ht="15.75">
      <c r="A175" s="11"/>
      <c r="B175" s="5"/>
      <c r="C175" s="13"/>
      <c r="D175" s="13"/>
      <c r="E175" s="13"/>
      <c r="F175" s="13"/>
      <c r="G175" s="13"/>
      <c r="H175" s="13"/>
      <c r="I175" s="9"/>
      <c r="J175" s="9"/>
      <c r="K175" s="9"/>
    </row>
  </sheetData>
  <mergeCells count="13">
    <mergeCell ref="A5:K5"/>
    <mergeCell ref="J8:K8"/>
    <mergeCell ref="C8:I8"/>
    <mergeCell ref="A9:A10"/>
    <mergeCell ref="E9:F9"/>
    <mergeCell ref="B9:B10"/>
    <mergeCell ref="I9:J9"/>
    <mergeCell ref="G9:H9"/>
    <mergeCell ref="K9:K10"/>
    <mergeCell ref="C9:C10"/>
    <mergeCell ref="D9:D10"/>
    <mergeCell ref="A6:K6"/>
    <mergeCell ref="A7:K7"/>
  </mergeCells>
  <pageMargins left="0.25" right="0.25" top="0.5" bottom="0.2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249977111117893"/>
  </sheetPr>
  <dimension ref="A1:M32"/>
  <sheetViews>
    <sheetView zoomScale="68" workbookViewId="0">
      <selection activeCell="C3" sqref="C3:C4"/>
    </sheetView>
  </sheetViews>
  <sheetFormatPr defaultRowHeight="15"/>
  <cols>
    <col min="1" max="1" width="3" customWidth="1"/>
    <col min="2" max="2" width="61.28515625" customWidth="1"/>
    <col min="11" max="11" width="10.28515625" customWidth="1"/>
  </cols>
  <sheetData>
    <row r="1" spans="1:13" ht="33.75" customHeight="1">
      <c r="A1" s="143" t="s">
        <v>175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3" ht="22.5" customHeight="1">
      <c r="A2" s="12"/>
      <c r="B2" s="43"/>
      <c r="C2" s="146" t="s">
        <v>304</v>
      </c>
      <c r="D2" s="146"/>
      <c r="E2" s="146"/>
      <c r="F2" s="146"/>
      <c r="G2" s="146"/>
      <c r="H2" s="146"/>
      <c r="I2" s="146"/>
      <c r="J2" s="144">
        <f>K32</f>
        <v>0</v>
      </c>
      <c r="K2" s="145"/>
    </row>
    <row r="3" spans="1:13" ht="27.75" customHeight="1">
      <c r="A3" s="147" t="s">
        <v>0</v>
      </c>
      <c r="B3" s="147" t="s">
        <v>1</v>
      </c>
      <c r="C3" s="147" t="s">
        <v>2</v>
      </c>
      <c r="D3" s="153" t="s">
        <v>3</v>
      </c>
      <c r="E3" s="149" t="s">
        <v>4</v>
      </c>
      <c r="F3" s="150"/>
      <c r="G3" s="149" t="s">
        <v>5</v>
      </c>
      <c r="H3" s="150"/>
      <c r="I3" s="151" t="s">
        <v>28</v>
      </c>
      <c r="J3" s="152"/>
      <c r="K3" s="147" t="s">
        <v>6</v>
      </c>
      <c r="M3" t="s">
        <v>141</v>
      </c>
    </row>
    <row r="4" spans="1:13" ht="18" customHeight="1">
      <c r="A4" s="148"/>
      <c r="B4" s="148"/>
      <c r="C4" s="148"/>
      <c r="D4" s="154"/>
      <c r="E4" s="49" t="s">
        <v>7</v>
      </c>
      <c r="F4" s="50" t="s">
        <v>141</v>
      </c>
      <c r="G4" s="49" t="s">
        <v>7</v>
      </c>
      <c r="H4" s="50" t="s">
        <v>6</v>
      </c>
      <c r="I4" s="49" t="s">
        <v>7</v>
      </c>
      <c r="J4" s="50" t="s">
        <v>6</v>
      </c>
      <c r="K4" s="148"/>
    </row>
    <row r="5" spans="1:13">
      <c r="A5" s="16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</row>
    <row r="6" spans="1:13" ht="60">
      <c r="A6" s="21">
        <v>1</v>
      </c>
      <c r="B6" s="70" t="s">
        <v>160</v>
      </c>
      <c r="C6" s="28" t="s">
        <v>9</v>
      </c>
      <c r="D6" s="33">
        <v>11</v>
      </c>
      <c r="E6" s="33">
        <v>0</v>
      </c>
      <c r="F6" s="20">
        <f t="shared" ref="F6:F20" si="0">E6*D6</f>
        <v>0</v>
      </c>
      <c r="G6" s="33">
        <v>0</v>
      </c>
      <c r="H6" s="20">
        <f t="shared" ref="H6:H20" si="1">G6*D6</f>
        <v>0</v>
      </c>
      <c r="I6" s="29">
        <v>0</v>
      </c>
      <c r="J6" s="20">
        <f t="shared" ref="J6:J20" si="2">I6*D6</f>
        <v>0</v>
      </c>
      <c r="K6" s="20">
        <f t="shared" ref="K6:K20" si="3">J6+H6+F6</f>
        <v>0</v>
      </c>
    </row>
    <row r="7" spans="1:13" ht="45">
      <c r="A7" s="21">
        <v>2</v>
      </c>
      <c r="B7" s="71" t="s">
        <v>161</v>
      </c>
      <c r="C7" s="28" t="s">
        <v>10</v>
      </c>
      <c r="D7" s="33">
        <v>8500</v>
      </c>
      <c r="E7" s="33">
        <v>0</v>
      </c>
      <c r="F7" s="20">
        <f t="shared" si="0"/>
        <v>0</v>
      </c>
      <c r="G7" s="33">
        <v>0</v>
      </c>
      <c r="H7" s="20">
        <f t="shared" si="1"/>
        <v>0</v>
      </c>
      <c r="I7" s="29">
        <v>0</v>
      </c>
      <c r="J7" s="20">
        <f t="shared" si="2"/>
        <v>0</v>
      </c>
      <c r="K7" s="20">
        <f t="shared" si="3"/>
        <v>0</v>
      </c>
    </row>
    <row r="8" spans="1:13" ht="60">
      <c r="A8" s="21">
        <v>3</v>
      </c>
      <c r="B8" s="71" t="s">
        <v>162</v>
      </c>
      <c r="C8" s="28" t="s">
        <v>9</v>
      </c>
      <c r="D8" s="33">
        <v>60</v>
      </c>
      <c r="E8" s="33">
        <v>0</v>
      </c>
      <c r="F8" s="20">
        <f t="shared" si="0"/>
        <v>0</v>
      </c>
      <c r="G8" s="33">
        <v>0</v>
      </c>
      <c r="H8" s="20">
        <f t="shared" si="1"/>
        <v>0</v>
      </c>
      <c r="I8" s="29">
        <v>0</v>
      </c>
      <c r="J8" s="20">
        <f t="shared" si="2"/>
        <v>0</v>
      </c>
      <c r="K8" s="20">
        <f t="shared" si="3"/>
        <v>0</v>
      </c>
    </row>
    <row r="9" spans="1:13" ht="60">
      <c r="A9" s="21">
        <v>4</v>
      </c>
      <c r="B9" s="71" t="s">
        <v>168</v>
      </c>
      <c r="C9" s="28" t="s">
        <v>9</v>
      </c>
      <c r="D9" s="33">
        <v>65</v>
      </c>
      <c r="E9" s="33">
        <v>0</v>
      </c>
      <c r="F9" s="20">
        <f t="shared" si="0"/>
        <v>0</v>
      </c>
      <c r="G9" s="33">
        <v>0</v>
      </c>
      <c r="H9" s="20">
        <f t="shared" si="1"/>
        <v>0</v>
      </c>
      <c r="I9" s="29">
        <v>0</v>
      </c>
      <c r="J9" s="20">
        <f t="shared" si="2"/>
        <v>0</v>
      </c>
      <c r="K9" s="20">
        <f t="shared" si="3"/>
        <v>0</v>
      </c>
    </row>
    <row r="10" spans="1:13" ht="60">
      <c r="A10" s="21">
        <v>5</v>
      </c>
      <c r="B10" s="71" t="s">
        <v>169</v>
      </c>
      <c r="C10" s="28" t="s">
        <v>9</v>
      </c>
      <c r="D10" s="33">
        <v>17</v>
      </c>
      <c r="E10" s="33">
        <v>0</v>
      </c>
      <c r="F10" s="20">
        <f t="shared" si="0"/>
        <v>0</v>
      </c>
      <c r="G10" s="33">
        <v>0</v>
      </c>
      <c r="H10" s="20">
        <f t="shared" si="1"/>
        <v>0</v>
      </c>
      <c r="I10" s="29">
        <v>0</v>
      </c>
      <c r="J10" s="20">
        <f t="shared" si="2"/>
        <v>0</v>
      </c>
      <c r="K10" s="20">
        <f t="shared" si="3"/>
        <v>0</v>
      </c>
    </row>
    <row r="11" spans="1:13" ht="60">
      <c r="A11" s="21">
        <v>6</v>
      </c>
      <c r="B11" s="71" t="s">
        <v>170</v>
      </c>
      <c r="C11" s="28" t="s">
        <v>9</v>
      </c>
      <c r="D11" s="33">
        <v>15</v>
      </c>
      <c r="E11" s="33">
        <v>0</v>
      </c>
      <c r="F11" s="20">
        <f t="shared" si="0"/>
        <v>0</v>
      </c>
      <c r="G11" s="33">
        <v>0</v>
      </c>
      <c r="H11" s="20">
        <f t="shared" si="1"/>
        <v>0</v>
      </c>
      <c r="I11" s="29">
        <v>0</v>
      </c>
      <c r="J11" s="20">
        <f t="shared" si="2"/>
        <v>0</v>
      </c>
      <c r="K11" s="20">
        <f t="shared" si="3"/>
        <v>0</v>
      </c>
    </row>
    <row r="12" spans="1:13">
      <c r="A12" s="21">
        <v>7</v>
      </c>
      <c r="B12" s="71" t="s">
        <v>163</v>
      </c>
      <c r="C12" s="28" t="s">
        <v>164</v>
      </c>
      <c r="D12" s="33">
        <v>900</v>
      </c>
      <c r="E12" s="33">
        <v>0</v>
      </c>
      <c r="F12" s="20">
        <f t="shared" si="0"/>
        <v>0</v>
      </c>
      <c r="G12" s="33">
        <v>0</v>
      </c>
      <c r="H12" s="20">
        <f t="shared" si="1"/>
        <v>0</v>
      </c>
      <c r="I12" s="29">
        <v>0</v>
      </c>
      <c r="J12" s="20">
        <f t="shared" si="2"/>
        <v>0</v>
      </c>
      <c r="K12" s="20">
        <f t="shared" si="3"/>
        <v>0</v>
      </c>
    </row>
    <row r="13" spans="1:13">
      <c r="A13" s="21">
        <v>8</v>
      </c>
      <c r="B13" s="71" t="s">
        <v>165</v>
      </c>
      <c r="C13" s="28" t="s">
        <v>164</v>
      </c>
      <c r="D13" s="33">
        <v>1500</v>
      </c>
      <c r="E13" s="33">
        <v>0</v>
      </c>
      <c r="F13" s="20">
        <f t="shared" si="0"/>
        <v>0</v>
      </c>
      <c r="G13" s="33">
        <v>0</v>
      </c>
      <c r="H13" s="20">
        <f t="shared" si="1"/>
        <v>0</v>
      </c>
      <c r="I13" s="29">
        <v>0</v>
      </c>
      <c r="J13" s="20">
        <f t="shared" si="2"/>
        <v>0</v>
      </c>
      <c r="K13" s="20">
        <f t="shared" si="3"/>
        <v>0</v>
      </c>
    </row>
    <row r="14" spans="1:13">
      <c r="A14" s="21">
        <v>9</v>
      </c>
      <c r="B14" s="71" t="s">
        <v>276</v>
      </c>
      <c r="C14" s="28" t="s">
        <v>164</v>
      </c>
      <c r="D14" s="33">
        <v>1500</v>
      </c>
      <c r="E14" s="33">
        <v>0</v>
      </c>
      <c r="F14" s="20">
        <f t="shared" si="0"/>
        <v>0</v>
      </c>
      <c r="G14" s="33">
        <v>0</v>
      </c>
      <c r="H14" s="20">
        <f t="shared" si="1"/>
        <v>0</v>
      </c>
      <c r="I14" s="29">
        <v>0</v>
      </c>
      <c r="J14" s="20">
        <f t="shared" si="2"/>
        <v>0</v>
      </c>
      <c r="K14" s="20">
        <f t="shared" si="3"/>
        <v>0</v>
      </c>
    </row>
    <row r="15" spans="1:13">
      <c r="A15" s="21">
        <v>10</v>
      </c>
      <c r="B15" s="71" t="s">
        <v>171</v>
      </c>
      <c r="C15" s="28" t="s">
        <v>10</v>
      </c>
      <c r="D15" s="33">
        <v>25</v>
      </c>
      <c r="E15" s="33">
        <v>0</v>
      </c>
      <c r="F15" s="20">
        <f t="shared" si="0"/>
        <v>0</v>
      </c>
      <c r="G15" s="33">
        <v>0</v>
      </c>
      <c r="H15" s="20">
        <f t="shared" si="1"/>
        <v>0</v>
      </c>
      <c r="I15" s="72"/>
      <c r="J15" s="20">
        <f t="shared" si="2"/>
        <v>0</v>
      </c>
      <c r="K15" s="20">
        <f t="shared" si="3"/>
        <v>0</v>
      </c>
    </row>
    <row r="16" spans="1:13" ht="30">
      <c r="A16" s="21">
        <v>11</v>
      </c>
      <c r="B16" s="71" t="s">
        <v>172</v>
      </c>
      <c r="C16" s="28" t="s">
        <v>164</v>
      </c>
      <c r="D16" s="33">
        <v>4</v>
      </c>
      <c r="E16" s="33">
        <v>0</v>
      </c>
      <c r="F16" s="20">
        <f t="shared" si="0"/>
        <v>0</v>
      </c>
      <c r="G16" s="33">
        <v>0</v>
      </c>
      <c r="H16" s="20">
        <f t="shared" si="1"/>
        <v>0</v>
      </c>
      <c r="I16" s="72">
        <v>0</v>
      </c>
      <c r="J16" s="20">
        <f t="shared" si="2"/>
        <v>0</v>
      </c>
      <c r="K16" s="20">
        <f t="shared" si="3"/>
        <v>0</v>
      </c>
    </row>
    <row r="17" spans="1:11">
      <c r="A17" s="21">
        <v>12</v>
      </c>
      <c r="B17" s="71" t="s">
        <v>173</v>
      </c>
      <c r="C17" s="28" t="s">
        <v>9</v>
      </c>
      <c r="D17" s="33">
        <v>2</v>
      </c>
      <c r="E17" s="33">
        <v>0</v>
      </c>
      <c r="F17" s="20">
        <f t="shared" si="0"/>
        <v>0</v>
      </c>
      <c r="G17" s="33">
        <v>0</v>
      </c>
      <c r="H17" s="20">
        <f t="shared" si="1"/>
        <v>0</v>
      </c>
      <c r="I17" s="72">
        <v>0</v>
      </c>
      <c r="J17" s="20">
        <f t="shared" si="2"/>
        <v>0</v>
      </c>
      <c r="K17" s="20">
        <f t="shared" si="3"/>
        <v>0</v>
      </c>
    </row>
    <row r="18" spans="1:11">
      <c r="A18" s="21">
        <v>13</v>
      </c>
      <c r="B18" s="71" t="s">
        <v>174</v>
      </c>
      <c r="C18" s="28" t="s">
        <v>9</v>
      </c>
      <c r="D18" s="33">
        <v>5</v>
      </c>
      <c r="E18" s="33">
        <v>0</v>
      </c>
      <c r="F18" s="20">
        <f t="shared" si="0"/>
        <v>0</v>
      </c>
      <c r="G18" s="33">
        <v>0</v>
      </c>
      <c r="H18" s="20">
        <f t="shared" si="1"/>
        <v>0</v>
      </c>
      <c r="I18" s="72">
        <v>0</v>
      </c>
      <c r="J18" s="20">
        <f t="shared" si="2"/>
        <v>0</v>
      </c>
      <c r="K18" s="20">
        <f t="shared" si="3"/>
        <v>0</v>
      </c>
    </row>
    <row r="19" spans="1:11">
      <c r="A19" s="21">
        <v>14</v>
      </c>
      <c r="B19" s="27" t="s">
        <v>176</v>
      </c>
      <c r="C19" s="39" t="s">
        <v>12</v>
      </c>
      <c r="D19" s="29">
        <v>1</v>
      </c>
      <c r="E19" s="33">
        <v>0</v>
      </c>
      <c r="F19" s="20">
        <f t="shared" si="0"/>
        <v>0</v>
      </c>
      <c r="G19" s="33">
        <v>0</v>
      </c>
      <c r="H19" s="20">
        <f t="shared" si="1"/>
        <v>0</v>
      </c>
      <c r="I19" s="29"/>
      <c r="J19" s="20">
        <f t="shared" si="2"/>
        <v>0</v>
      </c>
      <c r="K19" s="20">
        <f t="shared" si="3"/>
        <v>0</v>
      </c>
    </row>
    <row r="20" spans="1:11">
      <c r="A20" s="21">
        <v>15</v>
      </c>
      <c r="B20" s="27" t="s">
        <v>127</v>
      </c>
      <c r="C20" s="39" t="s">
        <v>12</v>
      </c>
      <c r="D20" s="40">
        <f>16700*0.001</f>
        <v>16.7</v>
      </c>
      <c r="E20" s="33">
        <v>0</v>
      </c>
      <c r="F20" s="20">
        <f t="shared" si="0"/>
        <v>0</v>
      </c>
      <c r="G20" s="29"/>
      <c r="H20" s="20">
        <f t="shared" si="1"/>
        <v>0</v>
      </c>
      <c r="I20" s="29"/>
      <c r="J20" s="20">
        <f t="shared" si="2"/>
        <v>0</v>
      </c>
      <c r="K20" s="20">
        <f t="shared" si="3"/>
        <v>0</v>
      </c>
    </row>
    <row r="21" spans="1:11">
      <c r="A21" s="6"/>
      <c r="B21" s="95" t="s">
        <v>6</v>
      </c>
      <c r="C21" s="14"/>
      <c r="D21" s="20"/>
      <c r="E21" s="20"/>
      <c r="F21" s="20">
        <f>SUM(F6:F20)</f>
        <v>0</v>
      </c>
      <c r="G21" s="20"/>
      <c r="H21" s="20">
        <f>SUM(H6:H20)</f>
        <v>0</v>
      </c>
      <c r="I21" s="20"/>
      <c r="J21" s="20">
        <f>SUM(J6:J20)</f>
        <v>0</v>
      </c>
      <c r="K21" s="37">
        <f>SUM(K6:K20)</f>
        <v>0</v>
      </c>
    </row>
    <row r="22" spans="1:11" ht="15.75">
      <c r="A22" s="7"/>
      <c r="B22" s="107" t="s">
        <v>14</v>
      </c>
      <c r="C22" s="74">
        <v>0.05</v>
      </c>
      <c r="D22" s="73"/>
      <c r="E22" s="35"/>
      <c r="F22" s="35"/>
      <c r="G22" s="73"/>
      <c r="H22" s="73"/>
      <c r="I22" s="73"/>
      <c r="J22" s="35"/>
      <c r="K22" s="46">
        <f>F21*C22</f>
        <v>0</v>
      </c>
    </row>
    <row r="23" spans="1:11" ht="15.75">
      <c r="A23" s="7"/>
      <c r="B23" s="107" t="s">
        <v>6</v>
      </c>
      <c r="C23" s="92"/>
      <c r="D23" s="73"/>
      <c r="E23" s="35"/>
      <c r="F23" s="35"/>
      <c r="G23" s="73"/>
      <c r="H23" s="73"/>
      <c r="I23" s="73"/>
      <c r="J23" s="35"/>
      <c r="K23" s="46">
        <f>K22+K21</f>
        <v>0</v>
      </c>
    </row>
    <row r="24" spans="1:11" ht="15.75">
      <c r="A24" s="7"/>
      <c r="B24" s="107" t="s">
        <v>177</v>
      </c>
      <c r="C24" s="74">
        <v>0.65</v>
      </c>
      <c r="D24" s="73"/>
      <c r="E24" s="35"/>
      <c r="F24" s="35"/>
      <c r="G24" s="73"/>
      <c r="H24" s="73"/>
      <c r="I24" s="73"/>
      <c r="J24" s="35"/>
      <c r="K24" s="46">
        <f>C24*H21</f>
        <v>0</v>
      </c>
    </row>
    <row r="25" spans="1:11" ht="15.75">
      <c r="A25" s="7"/>
      <c r="B25" s="107" t="s">
        <v>6</v>
      </c>
      <c r="C25" s="92"/>
      <c r="D25" s="73"/>
      <c r="E25" s="35"/>
      <c r="F25" s="35"/>
      <c r="G25" s="73"/>
      <c r="H25" s="73"/>
      <c r="I25" s="73"/>
      <c r="J25" s="35"/>
      <c r="K25" s="46">
        <f>K24+K23</f>
        <v>0</v>
      </c>
    </row>
    <row r="26" spans="1:11" ht="15.75" customHeight="1">
      <c r="A26" s="7"/>
      <c r="B26" s="107" t="s">
        <v>193</v>
      </c>
      <c r="C26" s="74">
        <v>0.08</v>
      </c>
      <c r="D26" s="75"/>
      <c r="E26" s="30"/>
      <c r="F26" s="76"/>
      <c r="G26" s="75"/>
      <c r="H26" s="75"/>
      <c r="I26" s="75"/>
      <c r="J26" s="30"/>
      <c r="K26" s="41">
        <f>K25*C26</f>
        <v>0</v>
      </c>
    </row>
    <row r="27" spans="1:11" ht="15.75">
      <c r="A27" s="8"/>
      <c r="B27" s="107" t="s">
        <v>6</v>
      </c>
      <c r="C27" s="92"/>
      <c r="D27" s="73"/>
      <c r="E27" s="35"/>
      <c r="F27" s="35"/>
      <c r="G27" s="73"/>
      <c r="H27" s="73"/>
      <c r="I27" s="73"/>
      <c r="J27" s="35"/>
      <c r="K27" s="46">
        <f>K26+K25</f>
        <v>0</v>
      </c>
    </row>
    <row r="28" spans="1:11" ht="15.75">
      <c r="A28" s="8"/>
      <c r="B28" s="108" t="s">
        <v>20</v>
      </c>
      <c r="C28" s="93">
        <v>0.03</v>
      </c>
      <c r="D28" s="77"/>
      <c r="E28" s="78"/>
      <c r="F28" s="78"/>
      <c r="G28" s="77"/>
      <c r="H28" s="77"/>
      <c r="I28" s="77"/>
      <c r="J28" s="78"/>
      <c r="K28" s="79">
        <f>K27*C28</f>
        <v>0</v>
      </c>
    </row>
    <row r="29" spans="1:11" ht="15.75">
      <c r="A29" s="8"/>
      <c r="B29" s="109" t="s">
        <v>178</v>
      </c>
      <c r="C29" s="74">
        <v>0.02</v>
      </c>
      <c r="D29" s="80"/>
      <c r="E29" s="80"/>
      <c r="F29" s="81"/>
      <c r="G29" s="82"/>
      <c r="H29" s="82"/>
      <c r="I29" s="82"/>
      <c r="J29" s="81"/>
      <c r="K29" s="83">
        <f>H21*C29</f>
        <v>0</v>
      </c>
    </row>
    <row r="30" spans="1:11" ht="15.75">
      <c r="A30" s="8"/>
      <c r="B30" s="110" t="s">
        <v>6</v>
      </c>
      <c r="C30" s="84"/>
      <c r="D30" s="80"/>
      <c r="E30" s="80"/>
      <c r="F30" s="81"/>
      <c r="G30" s="82"/>
      <c r="H30" s="82"/>
      <c r="I30" s="82"/>
      <c r="J30" s="81"/>
      <c r="K30" s="83">
        <f>K29+K28+K27</f>
        <v>0</v>
      </c>
    </row>
    <row r="31" spans="1:11" ht="15.75">
      <c r="A31" s="7"/>
      <c r="B31" s="111" t="s">
        <v>179</v>
      </c>
      <c r="C31" s="85">
        <v>0.18</v>
      </c>
      <c r="D31" s="86"/>
      <c r="E31" s="86"/>
      <c r="F31" s="86"/>
      <c r="G31" s="86"/>
      <c r="H31" s="86"/>
      <c r="I31" s="86"/>
      <c r="J31" s="86"/>
      <c r="K31" s="87">
        <f>K30*C31</f>
        <v>0</v>
      </c>
    </row>
    <row r="32" spans="1:11" ht="15.75">
      <c r="A32" s="6"/>
      <c r="B32" s="112" t="s">
        <v>6</v>
      </c>
      <c r="C32" s="94"/>
      <c r="D32" s="88"/>
      <c r="E32" s="88"/>
      <c r="F32" s="88"/>
      <c r="G32" s="88"/>
      <c r="H32" s="88"/>
      <c r="I32" s="88"/>
      <c r="J32" s="88"/>
      <c r="K32" s="89">
        <f>K31+K30</f>
        <v>0</v>
      </c>
    </row>
  </sheetData>
  <mergeCells count="11">
    <mergeCell ref="I3:J3"/>
    <mergeCell ref="K3:K4"/>
    <mergeCell ref="A1:K1"/>
    <mergeCell ref="C2:I2"/>
    <mergeCell ref="J2:K2"/>
    <mergeCell ref="A3:A4"/>
    <mergeCell ref="B3:B4"/>
    <mergeCell ref="C3:C4"/>
    <mergeCell ref="D3:D4"/>
    <mergeCell ref="E3:F3"/>
    <mergeCell ref="G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K26"/>
  <sheetViews>
    <sheetView workbookViewId="0">
      <selection activeCell="C3" sqref="C3:C4"/>
    </sheetView>
  </sheetViews>
  <sheetFormatPr defaultRowHeight="15"/>
  <cols>
    <col min="1" max="1" width="5" customWidth="1"/>
    <col min="2" max="2" width="70" customWidth="1"/>
    <col min="11" max="11" width="13.5703125" customWidth="1"/>
  </cols>
  <sheetData>
    <row r="1" spans="1:11">
      <c r="A1" s="143" t="s">
        <v>183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8">
      <c r="A2" s="12"/>
      <c r="B2" s="43"/>
      <c r="C2" s="146" t="s">
        <v>304</v>
      </c>
      <c r="D2" s="146"/>
      <c r="E2" s="146"/>
      <c r="F2" s="146"/>
      <c r="G2" s="146"/>
      <c r="H2" s="146"/>
      <c r="I2" s="146"/>
      <c r="J2" s="144">
        <f>K26</f>
        <v>0</v>
      </c>
      <c r="K2" s="145"/>
    </row>
    <row r="3" spans="1:11" ht="22.5" customHeight="1">
      <c r="A3" s="147" t="s">
        <v>0</v>
      </c>
      <c r="B3" s="147" t="s">
        <v>1</v>
      </c>
      <c r="C3" s="147" t="s">
        <v>2</v>
      </c>
      <c r="D3" s="153" t="s">
        <v>3</v>
      </c>
      <c r="E3" s="149" t="s">
        <v>4</v>
      </c>
      <c r="F3" s="150"/>
      <c r="G3" s="149" t="s">
        <v>5</v>
      </c>
      <c r="H3" s="150"/>
      <c r="I3" s="151" t="s">
        <v>28</v>
      </c>
      <c r="J3" s="152"/>
      <c r="K3" s="147" t="s">
        <v>6</v>
      </c>
    </row>
    <row r="4" spans="1:11" ht="29.25" customHeight="1">
      <c r="A4" s="148"/>
      <c r="B4" s="148"/>
      <c r="C4" s="148"/>
      <c r="D4" s="154"/>
      <c r="E4" s="49" t="s">
        <v>7</v>
      </c>
      <c r="F4" s="50" t="s">
        <v>6</v>
      </c>
      <c r="G4" s="49" t="s">
        <v>7</v>
      </c>
      <c r="H4" s="50" t="s">
        <v>6</v>
      </c>
      <c r="I4" s="49" t="s">
        <v>7</v>
      </c>
      <c r="J4" s="50" t="s">
        <v>6</v>
      </c>
      <c r="K4" s="148"/>
    </row>
    <row r="5" spans="1:11">
      <c r="A5" s="16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</row>
    <row r="6" spans="1:11">
      <c r="A6" s="21"/>
      <c r="B6" s="69" t="s">
        <v>166</v>
      </c>
      <c r="C6" s="28"/>
      <c r="D6" s="29"/>
      <c r="E6" s="29"/>
      <c r="F6" s="20"/>
      <c r="G6" s="29"/>
      <c r="H6" s="20"/>
      <c r="I6" s="29"/>
      <c r="J6" s="20"/>
      <c r="K6" s="20"/>
    </row>
    <row r="7" spans="1:11" ht="30">
      <c r="A7" s="21">
        <v>1</v>
      </c>
      <c r="B7" s="27" t="s">
        <v>185</v>
      </c>
      <c r="C7" s="28" t="s">
        <v>9</v>
      </c>
      <c r="D7" s="33">
        <v>8</v>
      </c>
      <c r="E7" s="33">
        <v>0</v>
      </c>
      <c r="F7" s="20">
        <f t="shared" ref="F7:F14" si="0">E7*D7</f>
        <v>0</v>
      </c>
      <c r="G7" s="33">
        <v>0</v>
      </c>
      <c r="H7" s="20">
        <f t="shared" ref="H7:H14" si="1">G7*D7</f>
        <v>0</v>
      </c>
      <c r="I7" s="29">
        <v>0</v>
      </c>
      <c r="J7" s="20">
        <f t="shared" ref="J7:J14" si="2">I7*D7</f>
        <v>0</v>
      </c>
      <c r="K7" s="20">
        <f t="shared" ref="K7:K14" si="3">J7+H7+F7</f>
        <v>0</v>
      </c>
    </row>
    <row r="8" spans="1:11">
      <c r="A8" s="21">
        <v>2</v>
      </c>
      <c r="B8" s="27" t="s">
        <v>186</v>
      </c>
      <c r="C8" s="28" t="s">
        <v>9</v>
      </c>
      <c r="D8" s="33">
        <v>96</v>
      </c>
      <c r="E8" s="33">
        <v>0</v>
      </c>
      <c r="F8" s="20">
        <f t="shared" si="0"/>
        <v>0</v>
      </c>
      <c r="G8" s="33">
        <v>0</v>
      </c>
      <c r="H8" s="20">
        <f t="shared" si="1"/>
        <v>0</v>
      </c>
      <c r="I8" s="29">
        <v>0</v>
      </c>
      <c r="J8" s="20">
        <f t="shared" si="2"/>
        <v>0</v>
      </c>
      <c r="K8" s="20">
        <f t="shared" si="3"/>
        <v>0</v>
      </c>
    </row>
    <row r="9" spans="1:11" ht="30">
      <c r="A9" s="21">
        <v>3</v>
      </c>
      <c r="B9" s="35" t="s">
        <v>187</v>
      </c>
      <c r="C9" s="28" t="s">
        <v>164</v>
      </c>
      <c r="D9" s="33">
        <v>1</v>
      </c>
      <c r="E9" s="33">
        <v>0</v>
      </c>
      <c r="F9" s="20">
        <f t="shared" si="0"/>
        <v>0</v>
      </c>
      <c r="G9" s="33">
        <v>0</v>
      </c>
      <c r="H9" s="20">
        <f t="shared" si="1"/>
        <v>0</v>
      </c>
      <c r="I9" s="29">
        <v>0</v>
      </c>
      <c r="J9" s="20">
        <f t="shared" si="2"/>
        <v>0</v>
      </c>
      <c r="K9" s="20">
        <f t="shared" si="3"/>
        <v>0</v>
      </c>
    </row>
    <row r="10" spans="1:11" ht="30">
      <c r="A10" s="56">
        <v>4</v>
      </c>
      <c r="B10" s="35" t="s">
        <v>188</v>
      </c>
      <c r="C10" s="28" t="s">
        <v>164</v>
      </c>
      <c r="D10" s="33">
        <v>9</v>
      </c>
      <c r="E10" s="33">
        <v>0</v>
      </c>
      <c r="F10" s="20">
        <f t="shared" si="0"/>
        <v>0</v>
      </c>
      <c r="G10" s="33">
        <v>0</v>
      </c>
      <c r="H10" s="20">
        <f t="shared" si="1"/>
        <v>0</v>
      </c>
      <c r="I10" s="29">
        <v>0</v>
      </c>
      <c r="J10" s="20">
        <f t="shared" si="2"/>
        <v>0</v>
      </c>
      <c r="K10" s="20">
        <f t="shared" si="3"/>
        <v>0</v>
      </c>
    </row>
    <row r="11" spans="1:11" ht="15.75">
      <c r="A11" s="56">
        <v>5</v>
      </c>
      <c r="B11" s="35" t="s">
        <v>189</v>
      </c>
      <c r="C11" s="28" t="s">
        <v>10</v>
      </c>
      <c r="D11" s="33">
        <v>720</v>
      </c>
      <c r="E11" s="33">
        <v>0</v>
      </c>
      <c r="F11" s="20">
        <f t="shared" si="0"/>
        <v>0</v>
      </c>
      <c r="G11" s="33">
        <v>0</v>
      </c>
      <c r="H11" s="20">
        <f t="shared" si="1"/>
        <v>0</v>
      </c>
      <c r="I11" s="29">
        <v>0</v>
      </c>
      <c r="J11" s="20">
        <f t="shared" si="2"/>
        <v>0</v>
      </c>
      <c r="K11" s="20">
        <f t="shared" si="3"/>
        <v>0</v>
      </c>
    </row>
    <row r="12" spans="1:11" ht="30">
      <c r="A12" s="56">
        <v>6</v>
      </c>
      <c r="B12" s="71" t="s">
        <v>190</v>
      </c>
      <c r="C12" s="28" t="s">
        <v>9</v>
      </c>
      <c r="D12" s="33">
        <v>1</v>
      </c>
      <c r="E12" s="33">
        <v>0</v>
      </c>
      <c r="F12" s="20">
        <f t="shared" si="0"/>
        <v>0</v>
      </c>
      <c r="G12" s="33">
        <v>0</v>
      </c>
      <c r="H12" s="20">
        <f t="shared" si="1"/>
        <v>0</v>
      </c>
      <c r="I12" s="29">
        <v>0</v>
      </c>
      <c r="J12" s="20">
        <f t="shared" si="2"/>
        <v>0</v>
      </c>
      <c r="K12" s="20">
        <f t="shared" si="3"/>
        <v>0</v>
      </c>
    </row>
    <row r="13" spans="1:11">
      <c r="A13" s="56">
        <v>7</v>
      </c>
      <c r="B13" s="27" t="s">
        <v>176</v>
      </c>
      <c r="C13" s="39" t="s">
        <v>12</v>
      </c>
      <c r="D13" s="29">
        <v>1</v>
      </c>
      <c r="E13" s="33">
        <v>0</v>
      </c>
      <c r="F13" s="20">
        <f t="shared" si="0"/>
        <v>0</v>
      </c>
      <c r="G13" s="33"/>
      <c r="H13" s="20">
        <f t="shared" si="1"/>
        <v>0</v>
      </c>
      <c r="I13" s="72"/>
      <c r="J13" s="20">
        <f t="shared" si="2"/>
        <v>0</v>
      </c>
      <c r="K13" s="20">
        <f t="shared" si="3"/>
        <v>0</v>
      </c>
    </row>
    <row r="14" spans="1:11">
      <c r="A14" s="56">
        <v>8</v>
      </c>
      <c r="B14" s="27" t="s">
        <v>127</v>
      </c>
      <c r="C14" s="39" t="s">
        <v>12</v>
      </c>
      <c r="D14" s="33">
        <v>1</v>
      </c>
      <c r="E14" s="33">
        <v>0</v>
      </c>
      <c r="F14" s="20">
        <f t="shared" si="0"/>
        <v>0</v>
      </c>
      <c r="G14" s="33"/>
      <c r="H14" s="20">
        <f t="shared" si="1"/>
        <v>0</v>
      </c>
      <c r="I14" s="72"/>
      <c r="J14" s="20">
        <f t="shared" si="2"/>
        <v>0</v>
      </c>
      <c r="K14" s="20">
        <f t="shared" si="3"/>
        <v>0</v>
      </c>
    </row>
    <row r="15" spans="1:11" ht="15.75">
      <c r="A15" s="6"/>
      <c r="B15" s="63" t="s">
        <v>6</v>
      </c>
      <c r="C15" s="14"/>
      <c r="D15" s="20"/>
      <c r="E15" s="20"/>
      <c r="F15" s="20">
        <f>SUM(F6:F14)</f>
        <v>0</v>
      </c>
      <c r="G15" s="20"/>
      <c r="H15" s="20">
        <f>SUM(H7:H14)</f>
        <v>0</v>
      </c>
      <c r="I15" s="20"/>
      <c r="J15" s="20">
        <f>SUM(J7:J14)</f>
        <v>0</v>
      </c>
      <c r="K15" s="37">
        <f>SUM(K6:K14)</f>
        <v>0</v>
      </c>
    </row>
    <row r="16" spans="1:11" ht="15.75">
      <c r="A16" s="7"/>
      <c r="B16" s="107" t="s">
        <v>14</v>
      </c>
      <c r="C16" s="74">
        <v>0.05</v>
      </c>
      <c r="D16" s="73"/>
      <c r="E16" s="35"/>
      <c r="F16" s="35"/>
      <c r="G16" s="73"/>
      <c r="H16" s="73"/>
      <c r="I16" s="73"/>
      <c r="J16" s="35"/>
      <c r="K16" s="46">
        <f>F15*C16</f>
        <v>0</v>
      </c>
    </row>
    <row r="17" spans="1:11" ht="15.75">
      <c r="A17" s="7"/>
      <c r="B17" s="107" t="s">
        <v>6</v>
      </c>
      <c r="C17" s="92"/>
      <c r="D17" s="73"/>
      <c r="E17" s="35"/>
      <c r="F17" s="35"/>
      <c r="G17" s="73"/>
      <c r="H17" s="73"/>
      <c r="I17" s="73"/>
      <c r="J17" s="35"/>
      <c r="K17" s="46">
        <f>K16+K15</f>
        <v>0</v>
      </c>
    </row>
    <row r="18" spans="1:11" ht="15.75">
      <c r="A18" s="7"/>
      <c r="B18" s="107" t="s">
        <v>177</v>
      </c>
      <c r="C18" s="74">
        <v>0.65</v>
      </c>
      <c r="D18" s="73"/>
      <c r="E18" s="35"/>
      <c r="F18" s="35"/>
      <c r="G18" s="73"/>
      <c r="H18" s="73"/>
      <c r="I18" s="73"/>
      <c r="J18" s="35"/>
      <c r="K18" s="46">
        <f>C18*H15</f>
        <v>0</v>
      </c>
    </row>
    <row r="19" spans="1:11" ht="15.75">
      <c r="A19" s="7"/>
      <c r="B19" s="107" t="s">
        <v>6</v>
      </c>
      <c r="C19" s="92"/>
      <c r="D19" s="73"/>
      <c r="E19" s="35"/>
      <c r="F19" s="35"/>
      <c r="G19" s="73"/>
      <c r="H19" s="73"/>
      <c r="I19" s="73"/>
      <c r="J19" s="35"/>
      <c r="K19" s="46">
        <f>K18+K17</f>
        <v>0</v>
      </c>
    </row>
    <row r="20" spans="1:11">
      <c r="A20" s="7"/>
      <c r="B20" s="107" t="s">
        <v>193</v>
      </c>
      <c r="C20" s="74">
        <v>0.08</v>
      </c>
      <c r="D20" s="75"/>
      <c r="E20" s="30"/>
      <c r="F20" s="76"/>
      <c r="G20" s="75"/>
      <c r="H20" s="75"/>
      <c r="I20" s="75"/>
      <c r="J20" s="30"/>
      <c r="K20" s="41">
        <f>K19*C20</f>
        <v>0</v>
      </c>
    </row>
    <row r="21" spans="1:11" ht="15.75">
      <c r="A21" s="8"/>
      <c r="B21" s="107" t="s">
        <v>6</v>
      </c>
      <c r="C21" s="92"/>
      <c r="D21" s="73"/>
      <c r="E21" s="35"/>
      <c r="F21" s="35"/>
      <c r="G21" s="73"/>
      <c r="H21" s="73"/>
      <c r="I21" s="73"/>
      <c r="J21" s="35"/>
      <c r="K21" s="46">
        <f>K20+K19</f>
        <v>0</v>
      </c>
    </row>
    <row r="22" spans="1:11" ht="15.75">
      <c r="A22" s="8"/>
      <c r="B22" s="108" t="s">
        <v>20</v>
      </c>
      <c r="C22" s="93">
        <v>0.03</v>
      </c>
      <c r="D22" s="77"/>
      <c r="E22" s="78"/>
      <c r="F22" s="78"/>
      <c r="G22" s="77"/>
      <c r="H22" s="77"/>
      <c r="I22" s="77"/>
      <c r="J22" s="78"/>
      <c r="K22" s="79">
        <f>K21*C22</f>
        <v>0</v>
      </c>
    </row>
    <row r="23" spans="1:11" ht="15.75">
      <c r="A23" s="8"/>
      <c r="B23" s="109" t="s">
        <v>178</v>
      </c>
      <c r="C23" s="74">
        <v>0.02</v>
      </c>
      <c r="D23" s="80"/>
      <c r="E23" s="80"/>
      <c r="F23" s="81"/>
      <c r="G23" s="82"/>
      <c r="H23" s="82"/>
      <c r="I23" s="82"/>
      <c r="J23" s="81"/>
      <c r="K23" s="83">
        <f>H15*C23</f>
        <v>0</v>
      </c>
    </row>
    <row r="24" spans="1:11" ht="15.75">
      <c r="A24" s="8"/>
      <c r="B24" s="110" t="s">
        <v>6</v>
      </c>
      <c r="C24" s="84"/>
      <c r="D24" s="80"/>
      <c r="E24" s="80"/>
      <c r="F24" s="81"/>
      <c r="G24" s="82"/>
      <c r="H24" s="82"/>
      <c r="I24" s="82"/>
      <c r="J24" s="81"/>
      <c r="K24" s="83">
        <f>K23+K22+K21</f>
        <v>0</v>
      </c>
    </row>
    <row r="25" spans="1:11" ht="15.75">
      <c r="A25" s="7"/>
      <c r="B25" s="111" t="s">
        <v>179</v>
      </c>
      <c r="C25" s="85">
        <v>0.18</v>
      </c>
      <c r="D25" s="86"/>
      <c r="E25" s="86"/>
      <c r="F25" s="86"/>
      <c r="G25" s="86"/>
      <c r="H25" s="86"/>
      <c r="I25" s="86"/>
      <c r="J25" s="86"/>
      <c r="K25" s="87">
        <f>K24*C25</f>
        <v>0</v>
      </c>
    </row>
    <row r="26" spans="1:11" ht="15.75">
      <c r="A26" s="6"/>
      <c r="B26" s="112" t="s">
        <v>6</v>
      </c>
      <c r="C26" s="94"/>
      <c r="D26" s="88"/>
      <c r="E26" s="88"/>
      <c r="F26" s="88"/>
      <c r="G26" s="88"/>
      <c r="H26" s="88"/>
      <c r="I26" s="88"/>
      <c r="J26" s="88"/>
      <c r="K26" s="89">
        <f>K25+K24</f>
        <v>0</v>
      </c>
    </row>
  </sheetData>
  <mergeCells count="11">
    <mergeCell ref="K3:K4"/>
    <mergeCell ref="A1:K1"/>
    <mergeCell ref="C2:I2"/>
    <mergeCell ref="J2:K2"/>
    <mergeCell ref="A3:A4"/>
    <mergeCell ref="B3:B4"/>
    <mergeCell ref="C3:C4"/>
    <mergeCell ref="D3:D4"/>
    <mergeCell ref="E3:F3"/>
    <mergeCell ref="G3:H3"/>
    <mergeCell ref="I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-0.249977111117893"/>
  </sheetPr>
  <dimension ref="A1:K49"/>
  <sheetViews>
    <sheetView zoomScale="89" workbookViewId="0">
      <selection activeCell="B3" sqref="B3:B4"/>
    </sheetView>
  </sheetViews>
  <sheetFormatPr defaultRowHeight="15"/>
  <cols>
    <col min="1" max="1" width="4.5703125" customWidth="1"/>
    <col min="2" max="2" width="51.28515625" customWidth="1"/>
    <col min="11" max="11" width="10.7109375" customWidth="1"/>
  </cols>
  <sheetData>
    <row r="1" spans="1:11">
      <c r="A1" s="143" t="s">
        <v>184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8">
      <c r="A2" s="12"/>
      <c r="B2" s="43"/>
      <c r="C2" s="146" t="s">
        <v>303</v>
      </c>
      <c r="D2" s="146"/>
      <c r="E2" s="146"/>
      <c r="F2" s="146"/>
      <c r="G2" s="146"/>
      <c r="H2" s="146"/>
      <c r="I2" s="146"/>
      <c r="J2" s="144">
        <f>K46</f>
        <v>0</v>
      </c>
      <c r="K2" s="145"/>
    </row>
    <row r="3" spans="1:11" ht="30" customHeight="1">
      <c r="A3" s="147" t="s">
        <v>0</v>
      </c>
      <c r="B3" s="147" t="s">
        <v>1</v>
      </c>
      <c r="C3" s="147" t="s">
        <v>2</v>
      </c>
      <c r="D3" s="153" t="s">
        <v>3</v>
      </c>
      <c r="E3" s="149" t="s">
        <v>4</v>
      </c>
      <c r="F3" s="150"/>
      <c r="G3" s="149" t="s">
        <v>5</v>
      </c>
      <c r="H3" s="150"/>
      <c r="I3" s="151" t="s">
        <v>28</v>
      </c>
      <c r="J3" s="152"/>
      <c r="K3" s="147" t="s">
        <v>6</v>
      </c>
    </row>
    <row r="4" spans="1:11">
      <c r="A4" s="148"/>
      <c r="B4" s="148"/>
      <c r="C4" s="148"/>
      <c r="D4" s="154"/>
      <c r="E4" s="49" t="s">
        <v>7</v>
      </c>
      <c r="F4" s="50" t="s">
        <v>6</v>
      </c>
      <c r="G4" s="49" t="s">
        <v>7</v>
      </c>
      <c r="H4" s="50" t="s">
        <v>6</v>
      </c>
      <c r="I4" s="49" t="s">
        <v>7</v>
      </c>
      <c r="J4" s="50" t="s">
        <v>6</v>
      </c>
      <c r="K4" s="148"/>
    </row>
    <row r="5" spans="1:11">
      <c r="A5" s="16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</row>
    <row r="6" spans="1:11">
      <c r="A6" s="21"/>
      <c r="B6" s="98" t="s">
        <v>196</v>
      </c>
      <c r="C6" s="28"/>
      <c r="D6" s="28"/>
      <c r="E6" s="28"/>
      <c r="F6" s="20"/>
      <c r="G6" s="28"/>
      <c r="H6" s="20"/>
      <c r="I6" s="28"/>
      <c r="J6" s="20"/>
      <c r="K6" s="20"/>
    </row>
    <row r="7" spans="1:11" ht="30">
      <c r="A7" s="21">
        <v>1</v>
      </c>
      <c r="B7" s="97" t="s">
        <v>280</v>
      </c>
      <c r="C7" s="28" t="s">
        <v>10</v>
      </c>
      <c r="D7" s="29">
        <v>250</v>
      </c>
      <c r="E7" s="29">
        <v>0</v>
      </c>
      <c r="F7" s="20">
        <f t="shared" ref="F7:F34" si="0">E7*D7</f>
        <v>0</v>
      </c>
      <c r="G7" s="29">
        <v>0</v>
      </c>
      <c r="H7" s="20">
        <f t="shared" ref="H7:H34" si="1">G7*D7</f>
        <v>0</v>
      </c>
      <c r="I7" s="29">
        <v>0</v>
      </c>
      <c r="J7" s="20">
        <f t="shared" ref="J7:J34" si="2">I7*D7</f>
        <v>0</v>
      </c>
      <c r="K7" s="20">
        <f t="shared" ref="K7:K34" si="3">J7+H7+F7</f>
        <v>0</v>
      </c>
    </row>
    <row r="8" spans="1:11" ht="30">
      <c r="A8" s="21">
        <v>2</v>
      </c>
      <c r="B8" s="97" t="s">
        <v>281</v>
      </c>
      <c r="C8" s="28" t="s">
        <v>10</v>
      </c>
      <c r="D8" s="29">
        <v>60</v>
      </c>
      <c r="E8" s="29">
        <v>0</v>
      </c>
      <c r="F8" s="20">
        <f t="shared" si="0"/>
        <v>0</v>
      </c>
      <c r="G8" s="29">
        <v>0</v>
      </c>
      <c r="H8" s="20">
        <f t="shared" si="1"/>
        <v>0</v>
      </c>
      <c r="I8" s="29">
        <v>0</v>
      </c>
      <c r="J8" s="20">
        <f t="shared" si="2"/>
        <v>0</v>
      </c>
      <c r="K8" s="20">
        <f t="shared" si="3"/>
        <v>0</v>
      </c>
    </row>
    <row r="9" spans="1:11" ht="30">
      <c r="A9" s="21">
        <v>3</v>
      </c>
      <c r="B9" s="97" t="s">
        <v>282</v>
      </c>
      <c r="C9" s="28" t="s">
        <v>10</v>
      </c>
      <c r="D9" s="29">
        <v>40</v>
      </c>
      <c r="E9" s="29">
        <v>0</v>
      </c>
      <c r="F9" s="20">
        <f t="shared" si="0"/>
        <v>0</v>
      </c>
      <c r="G9" s="29">
        <v>0</v>
      </c>
      <c r="H9" s="20">
        <f t="shared" si="1"/>
        <v>0</v>
      </c>
      <c r="I9" s="29">
        <v>0</v>
      </c>
      <c r="J9" s="20">
        <f t="shared" si="2"/>
        <v>0</v>
      </c>
      <c r="K9" s="20">
        <f t="shared" si="3"/>
        <v>0</v>
      </c>
    </row>
    <row r="10" spans="1:11" ht="30">
      <c r="A10" s="21">
        <v>4</v>
      </c>
      <c r="B10" s="97" t="s">
        <v>283</v>
      </c>
      <c r="C10" s="28" t="s">
        <v>10</v>
      </c>
      <c r="D10" s="29">
        <v>10</v>
      </c>
      <c r="E10" s="29">
        <v>0</v>
      </c>
      <c r="F10" s="20">
        <f t="shared" si="0"/>
        <v>0</v>
      </c>
      <c r="G10" s="29">
        <v>0</v>
      </c>
      <c r="H10" s="20">
        <f t="shared" si="1"/>
        <v>0</v>
      </c>
      <c r="I10" s="29">
        <v>0</v>
      </c>
      <c r="J10" s="20">
        <f t="shared" si="2"/>
        <v>0</v>
      </c>
      <c r="K10" s="20">
        <f t="shared" si="3"/>
        <v>0</v>
      </c>
    </row>
    <row r="11" spans="1:11" ht="30">
      <c r="A11" s="21">
        <v>5</v>
      </c>
      <c r="B11" s="97" t="s">
        <v>284</v>
      </c>
      <c r="C11" s="28" t="s">
        <v>10</v>
      </c>
      <c r="D11" s="29">
        <v>180</v>
      </c>
      <c r="E11" s="29">
        <v>0</v>
      </c>
      <c r="F11" s="20">
        <f t="shared" si="0"/>
        <v>0</v>
      </c>
      <c r="G11" s="29">
        <v>0</v>
      </c>
      <c r="H11" s="20">
        <f t="shared" si="1"/>
        <v>0</v>
      </c>
      <c r="I11" s="29">
        <v>0</v>
      </c>
      <c r="J11" s="20">
        <f t="shared" si="2"/>
        <v>0</v>
      </c>
      <c r="K11" s="20">
        <f t="shared" si="3"/>
        <v>0</v>
      </c>
    </row>
    <row r="12" spans="1:11" ht="30">
      <c r="A12" s="21">
        <v>6</v>
      </c>
      <c r="B12" s="97" t="s">
        <v>285</v>
      </c>
      <c r="C12" s="28" t="s">
        <v>10</v>
      </c>
      <c r="D12" s="29">
        <v>200</v>
      </c>
      <c r="E12" s="29">
        <v>0</v>
      </c>
      <c r="F12" s="20">
        <f t="shared" si="0"/>
        <v>0</v>
      </c>
      <c r="G12" s="29">
        <v>0</v>
      </c>
      <c r="H12" s="20">
        <f t="shared" si="1"/>
        <v>0</v>
      </c>
      <c r="I12" s="29">
        <v>0</v>
      </c>
      <c r="J12" s="20">
        <f t="shared" si="2"/>
        <v>0</v>
      </c>
      <c r="K12" s="20">
        <f t="shared" si="3"/>
        <v>0</v>
      </c>
    </row>
    <row r="13" spans="1:11" ht="30">
      <c r="A13" s="21">
        <v>7</v>
      </c>
      <c r="B13" s="97" t="s">
        <v>286</v>
      </c>
      <c r="C13" s="28" t="s">
        <v>10</v>
      </c>
      <c r="D13" s="29">
        <v>35</v>
      </c>
      <c r="E13" s="29">
        <v>0</v>
      </c>
      <c r="F13" s="20">
        <f t="shared" si="0"/>
        <v>0</v>
      </c>
      <c r="G13" s="29">
        <v>0</v>
      </c>
      <c r="H13" s="20">
        <f t="shared" si="1"/>
        <v>0</v>
      </c>
      <c r="I13" s="29">
        <v>0</v>
      </c>
      <c r="J13" s="20">
        <f t="shared" si="2"/>
        <v>0</v>
      </c>
      <c r="K13" s="20">
        <f t="shared" si="3"/>
        <v>0</v>
      </c>
    </row>
    <row r="14" spans="1:11">
      <c r="A14" s="21">
        <v>8</v>
      </c>
      <c r="B14" s="97" t="s">
        <v>287</v>
      </c>
      <c r="C14" s="28" t="s">
        <v>10</v>
      </c>
      <c r="D14" s="29">
        <v>380</v>
      </c>
      <c r="E14" s="29">
        <v>0</v>
      </c>
      <c r="F14" s="20">
        <f t="shared" si="0"/>
        <v>0</v>
      </c>
      <c r="G14" s="29">
        <v>0</v>
      </c>
      <c r="H14" s="20">
        <f t="shared" si="1"/>
        <v>0</v>
      </c>
      <c r="I14" s="29">
        <v>0</v>
      </c>
      <c r="J14" s="20">
        <f t="shared" si="2"/>
        <v>0</v>
      </c>
      <c r="K14" s="20">
        <f t="shared" si="3"/>
        <v>0</v>
      </c>
    </row>
    <row r="15" spans="1:11">
      <c r="A15" s="21">
        <v>9</v>
      </c>
      <c r="B15" s="97" t="s">
        <v>288</v>
      </c>
      <c r="C15" s="28" t="s">
        <v>9</v>
      </c>
      <c r="D15" s="29">
        <v>162</v>
      </c>
      <c r="E15" s="29">
        <v>0</v>
      </c>
      <c r="F15" s="20">
        <f t="shared" si="0"/>
        <v>0</v>
      </c>
      <c r="G15" s="29">
        <v>0</v>
      </c>
      <c r="H15" s="20">
        <f t="shared" si="1"/>
        <v>0</v>
      </c>
      <c r="I15" s="29">
        <v>0</v>
      </c>
      <c r="J15" s="20">
        <f t="shared" si="2"/>
        <v>0</v>
      </c>
      <c r="K15" s="20">
        <f t="shared" si="3"/>
        <v>0</v>
      </c>
    </row>
    <row r="16" spans="1:11">
      <c r="A16" s="21">
        <v>10</v>
      </c>
      <c r="B16" s="97" t="s">
        <v>197</v>
      </c>
      <c r="C16" s="28" t="s">
        <v>9</v>
      </c>
      <c r="D16" s="29">
        <v>150</v>
      </c>
      <c r="E16" s="29">
        <v>0</v>
      </c>
      <c r="F16" s="20">
        <f t="shared" si="0"/>
        <v>0</v>
      </c>
      <c r="G16" s="29"/>
      <c r="H16" s="20">
        <f t="shared" si="1"/>
        <v>0</v>
      </c>
      <c r="I16" s="29"/>
      <c r="J16" s="20">
        <f t="shared" si="2"/>
        <v>0</v>
      </c>
      <c r="K16" s="20">
        <f t="shared" si="3"/>
        <v>0</v>
      </c>
    </row>
    <row r="17" spans="1:11">
      <c r="A17" s="21"/>
      <c r="B17" s="99" t="s">
        <v>198</v>
      </c>
      <c r="C17" s="28"/>
      <c r="D17" s="29"/>
      <c r="E17" s="29"/>
      <c r="F17" s="20">
        <f t="shared" si="0"/>
        <v>0</v>
      </c>
      <c r="G17" s="29"/>
      <c r="H17" s="20">
        <f t="shared" si="1"/>
        <v>0</v>
      </c>
      <c r="I17" s="29"/>
      <c r="J17" s="20">
        <f t="shared" si="2"/>
        <v>0</v>
      </c>
      <c r="K17" s="20">
        <f t="shared" si="3"/>
        <v>0</v>
      </c>
    </row>
    <row r="18" spans="1:11">
      <c r="A18" s="21">
        <v>1</v>
      </c>
      <c r="B18" s="97" t="s">
        <v>199</v>
      </c>
      <c r="C18" s="28" t="s">
        <v>10</v>
      </c>
      <c r="D18" s="29">
        <v>180</v>
      </c>
      <c r="E18" s="29">
        <v>0</v>
      </c>
      <c r="F18" s="20">
        <f t="shared" si="0"/>
        <v>0</v>
      </c>
      <c r="G18" s="29">
        <v>0</v>
      </c>
      <c r="H18" s="20">
        <f t="shared" si="1"/>
        <v>0</v>
      </c>
      <c r="I18" s="29">
        <v>0</v>
      </c>
      <c r="J18" s="20">
        <f t="shared" si="2"/>
        <v>0</v>
      </c>
      <c r="K18" s="20">
        <f t="shared" si="3"/>
        <v>0</v>
      </c>
    </row>
    <row r="19" spans="1:11">
      <c r="A19" s="21">
        <v>2</v>
      </c>
      <c r="B19" s="97" t="s">
        <v>200</v>
      </c>
      <c r="C19" s="28" t="s">
        <v>10</v>
      </c>
      <c r="D19" s="29">
        <v>80</v>
      </c>
      <c r="E19" s="29">
        <v>0</v>
      </c>
      <c r="F19" s="20">
        <f t="shared" si="0"/>
        <v>0</v>
      </c>
      <c r="G19" s="29">
        <v>0</v>
      </c>
      <c r="H19" s="20">
        <f t="shared" si="1"/>
        <v>0</v>
      </c>
      <c r="I19" s="29">
        <v>0</v>
      </c>
      <c r="J19" s="20">
        <f t="shared" si="2"/>
        <v>0</v>
      </c>
      <c r="K19" s="20">
        <f t="shared" si="3"/>
        <v>0</v>
      </c>
    </row>
    <row r="20" spans="1:11">
      <c r="A20" s="21">
        <v>3</v>
      </c>
      <c r="B20" s="96" t="s">
        <v>201</v>
      </c>
      <c r="C20" s="28" t="s">
        <v>9</v>
      </c>
      <c r="D20" s="29">
        <v>16</v>
      </c>
      <c r="E20" s="29">
        <v>0</v>
      </c>
      <c r="F20" s="20">
        <f t="shared" si="0"/>
        <v>0</v>
      </c>
      <c r="G20" s="29">
        <v>0</v>
      </c>
      <c r="H20" s="20">
        <f t="shared" si="1"/>
        <v>0</v>
      </c>
      <c r="I20" s="29">
        <v>0</v>
      </c>
      <c r="J20" s="20">
        <f t="shared" si="2"/>
        <v>0</v>
      </c>
      <c r="K20" s="20">
        <f t="shared" si="3"/>
        <v>0</v>
      </c>
    </row>
    <row r="21" spans="1:11">
      <c r="A21" s="21">
        <v>4</v>
      </c>
      <c r="B21" s="97" t="s">
        <v>277</v>
      </c>
      <c r="C21" s="28" t="s">
        <v>9</v>
      </c>
      <c r="D21" s="29">
        <v>65</v>
      </c>
      <c r="E21" s="29">
        <v>0</v>
      </c>
      <c r="F21" s="20">
        <f t="shared" si="0"/>
        <v>0</v>
      </c>
      <c r="G21" s="29">
        <v>0</v>
      </c>
      <c r="H21" s="20">
        <f t="shared" si="1"/>
        <v>0</v>
      </c>
      <c r="I21" s="29">
        <v>0</v>
      </c>
      <c r="J21" s="20">
        <f t="shared" si="2"/>
        <v>0</v>
      </c>
      <c r="K21" s="20">
        <f t="shared" si="3"/>
        <v>0</v>
      </c>
    </row>
    <row r="22" spans="1:11">
      <c r="A22" s="21">
        <v>6</v>
      </c>
      <c r="B22" s="97" t="s">
        <v>289</v>
      </c>
      <c r="C22" s="28" t="s">
        <v>9</v>
      </c>
      <c r="D22" s="29">
        <v>8</v>
      </c>
      <c r="E22" s="29">
        <v>0</v>
      </c>
      <c r="F22" s="20">
        <f t="shared" si="0"/>
        <v>0</v>
      </c>
      <c r="G22" s="29">
        <v>0</v>
      </c>
      <c r="H22" s="20">
        <f t="shared" si="1"/>
        <v>0</v>
      </c>
      <c r="I22" s="29">
        <v>0</v>
      </c>
      <c r="J22" s="20">
        <f t="shared" si="2"/>
        <v>0</v>
      </c>
      <c r="K22" s="20">
        <f t="shared" si="3"/>
        <v>0</v>
      </c>
    </row>
    <row r="23" spans="1:11">
      <c r="A23" s="21">
        <v>7</v>
      </c>
      <c r="B23" s="96" t="s">
        <v>202</v>
      </c>
      <c r="C23" s="28" t="s">
        <v>9</v>
      </c>
      <c r="D23" s="29">
        <v>21</v>
      </c>
      <c r="E23" s="29">
        <v>0</v>
      </c>
      <c r="F23" s="20">
        <f t="shared" si="0"/>
        <v>0</v>
      </c>
      <c r="G23" s="29">
        <v>0</v>
      </c>
      <c r="H23" s="20">
        <f t="shared" si="1"/>
        <v>0</v>
      </c>
      <c r="I23" s="29">
        <v>0</v>
      </c>
      <c r="J23" s="20">
        <f t="shared" si="2"/>
        <v>0</v>
      </c>
      <c r="K23" s="20">
        <f t="shared" si="3"/>
        <v>0</v>
      </c>
    </row>
    <row r="24" spans="1:11" ht="45">
      <c r="A24" s="21">
        <v>8</v>
      </c>
      <c r="B24" s="97" t="s">
        <v>291</v>
      </c>
      <c r="C24" s="28" t="s">
        <v>9</v>
      </c>
      <c r="D24" s="29">
        <v>1</v>
      </c>
      <c r="E24" s="29">
        <v>0</v>
      </c>
      <c r="F24" s="20">
        <f t="shared" si="0"/>
        <v>0</v>
      </c>
      <c r="G24" s="29">
        <v>0</v>
      </c>
      <c r="H24" s="20">
        <f t="shared" si="1"/>
        <v>0</v>
      </c>
      <c r="I24" s="29">
        <v>0</v>
      </c>
      <c r="J24" s="20">
        <f t="shared" si="2"/>
        <v>0</v>
      </c>
      <c r="K24" s="20">
        <f t="shared" si="3"/>
        <v>0</v>
      </c>
    </row>
    <row r="25" spans="1:11" ht="30">
      <c r="A25" s="21">
        <v>9</v>
      </c>
      <c r="B25" s="97" t="s">
        <v>278</v>
      </c>
      <c r="C25" s="28" t="s">
        <v>9</v>
      </c>
      <c r="D25" s="29">
        <v>1</v>
      </c>
      <c r="E25" s="29">
        <v>0</v>
      </c>
      <c r="F25" s="20">
        <f t="shared" si="0"/>
        <v>0</v>
      </c>
      <c r="G25" s="29">
        <v>0</v>
      </c>
      <c r="H25" s="20">
        <f t="shared" si="1"/>
        <v>0</v>
      </c>
      <c r="I25" s="29">
        <v>0</v>
      </c>
      <c r="J25" s="20">
        <f t="shared" si="2"/>
        <v>0</v>
      </c>
      <c r="K25" s="20">
        <f t="shared" si="3"/>
        <v>0</v>
      </c>
    </row>
    <row r="26" spans="1:11">
      <c r="A26" s="21">
        <v>10</v>
      </c>
      <c r="B26" s="97" t="s">
        <v>279</v>
      </c>
      <c r="C26" s="28" t="s">
        <v>9</v>
      </c>
      <c r="D26" s="29">
        <v>112</v>
      </c>
      <c r="E26" s="29">
        <v>0</v>
      </c>
      <c r="F26" s="20">
        <f t="shared" si="0"/>
        <v>0</v>
      </c>
      <c r="G26" s="29"/>
      <c r="H26" s="20">
        <f t="shared" si="1"/>
        <v>0</v>
      </c>
      <c r="I26" s="29"/>
      <c r="J26" s="20">
        <f t="shared" si="2"/>
        <v>0</v>
      </c>
      <c r="K26" s="20">
        <f t="shared" si="3"/>
        <v>0</v>
      </c>
    </row>
    <row r="27" spans="1:11" ht="19.5" customHeight="1">
      <c r="A27" s="21"/>
      <c r="B27" s="99" t="s">
        <v>290</v>
      </c>
      <c r="C27" s="28"/>
      <c r="D27" s="29"/>
      <c r="E27" s="29"/>
      <c r="F27" s="20">
        <f t="shared" si="0"/>
        <v>0</v>
      </c>
      <c r="G27" s="29"/>
      <c r="H27" s="20">
        <f t="shared" si="1"/>
        <v>0</v>
      </c>
      <c r="I27" s="29"/>
      <c r="J27" s="20">
        <f t="shared" si="2"/>
        <v>0</v>
      </c>
      <c r="K27" s="20">
        <f t="shared" si="3"/>
        <v>0</v>
      </c>
    </row>
    <row r="28" spans="1:11" ht="45">
      <c r="A28" s="21">
        <v>1</v>
      </c>
      <c r="B28" s="97" t="s">
        <v>293</v>
      </c>
      <c r="C28" s="29" t="s">
        <v>9</v>
      </c>
      <c r="D28" s="29">
        <v>1</v>
      </c>
      <c r="E28" s="29">
        <v>0</v>
      </c>
      <c r="F28" s="20">
        <f t="shared" si="0"/>
        <v>0</v>
      </c>
      <c r="G28" s="29">
        <v>0</v>
      </c>
      <c r="H28" s="20">
        <f t="shared" si="1"/>
        <v>0</v>
      </c>
      <c r="I28" s="29">
        <v>0</v>
      </c>
      <c r="J28" s="20">
        <f t="shared" si="2"/>
        <v>0</v>
      </c>
      <c r="K28" s="20">
        <f t="shared" si="3"/>
        <v>0</v>
      </c>
    </row>
    <row r="29" spans="1:11">
      <c r="A29" s="21">
        <v>2</v>
      </c>
      <c r="B29" s="97" t="s">
        <v>292</v>
      </c>
      <c r="C29" s="28" t="s">
        <v>9</v>
      </c>
      <c r="D29" s="29">
        <v>1</v>
      </c>
      <c r="E29" s="29">
        <v>0</v>
      </c>
      <c r="F29" s="20">
        <f t="shared" si="0"/>
        <v>0</v>
      </c>
      <c r="G29" s="29">
        <v>0</v>
      </c>
      <c r="H29" s="20">
        <f t="shared" si="1"/>
        <v>0</v>
      </c>
      <c r="I29" s="29">
        <v>0</v>
      </c>
      <c r="J29" s="20">
        <f t="shared" si="2"/>
        <v>0</v>
      </c>
      <c r="K29" s="20">
        <f t="shared" si="3"/>
        <v>0</v>
      </c>
    </row>
    <row r="30" spans="1:11" ht="30">
      <c r="A30" s="21">
        <v>3</v>
      </c>
      <c r="B30" s="97" t="s">
        <v>294</v>
      </c>
      <c r="C30" s="28" t="s">
        <v>9</v>
      </c>
      <c r="D30" s="29">
        <v>1</v>
      </c>
      <c r="E30" s="29">
        <v>0</v>
      </c>
      <c r="F30" s="20">
        <f t="shared" si="0"/>
        <v>0</v>
      </c>
      <c r="G30" s="29">
        <v>0</v>
      </c>
      <c r="H30" s="20">
        <f t="shared" si="1"/>
        <v>0</v>
      </c>
      <c r="I30" s="29">
        <v>0</v>
      </c>
      <c r="J30" s="20">
        <f t="shared" si="2"/>
        <v>0</v>
      </c>
      <c r="K30" s="20">
        <f t="shared" si="3"/>
        <v>0</v>
      </c>
    </row>
    <row r="31" spans="1:11">
      <c r="A31" s="21">
        <v>4</v>
      </c>
      <c r="B31" s="97" t="s">
        <v>295</v>
      </c>
      <c r="C31" s="28" t="s">
        <v>12</v>
      </c>
      <c r="D31" s="29">
        <v>50</v>
      </c>
      <c r="E31" s="29">
        <v>0</v>
      </c>
      <c r="F31" s="20">
        <f t="shared" si="0"/>
        <v>0</v>
      </c>
      <c r="G31" s="29">
        <v>0</v>
      </c>
      <c r="H31" s="20">
        <f t="shared" si="1"/>
        <v>0</v>
      </c>
      <c r="I31" s="29">
        <v>0</v>
      </c>
      <c r="J31" s="20">
        <f t="shared" si="2"/>
        <v>0</v>
      </c>
      <c r="K31" s="20">
        <f t="shared" si="3"/>
        <v>0</v>
      </c>
    </row>
    <row r="32" spans="1:11">
      <c r="A32" s="21">
        <v>5</v>
      </c>
      <c r="B32" s="97" t="s">
        <v>301</v>
      </c>
      <c r="C32" s="28" t="s">
        <v>9</v>
      </c>
      <c r="D32" s="29">
        <v>1</v>
      </c>
      <c r="E32" s="29">
        <v>0</v>
      </c>
      <c r="F32" s="20">
        <f t="shared" ref="F32:F33" si="4">E32*D32</f>
        <v>0</v>
      </c>
      <c r="G32" s="29">
        <v>0</v>
      </c>
      <c r="H32" s="20">
        <f t="shared" ref="H32:H33" si="5">G32*D32</f>
        <v>0</v>
      </c>
      <c r="I32" s="29">
        <v>0</v>
      </c>
      <c r="J32" s="20">
        <f t="shared" ref="J32:J33" si="6">I32*D32</f>
        <v>0</v>
      </c>
      <c r="K32" s="20">
        <f t="shared" ref="K32:K33" si="7">J32+H32+F32</f>
        <v>0</v>
      </c>
    </row>
    <row r="33" spans="1:11">
      <c r="A33" s="21">
        <v>6</v>
      </c>
      <c r="B33" s="97" t="s">
        <v>302</v>
      </c>
      <c r="C33" s="28" t="s">
        <v>12</v>
      </c>
      <c r="D33" s="29">
        <v>75</v>
      </c>
      <c r="E33" s="29">
        <v>0</v>
      </c>
      <c r="F33" s="20">
        <f t="shared" si="4"/>
        <v>0</v>
      </c>
      <c r="G33" s="29">
        <v>0</v>
      </c>
      <c r="H33" s="20">
        <f t="shared" si="5"/>
        <v>0</v>
      </c>
      <c r="I33" s="29">
        <v>0</v>
      </c>
      <c r="J33" s="20">
        <f t="shared" si="6"/>
        <v>0</v>
      </c>
      <c r="K33" s="20">
        <f t="shared" si="7"/>
        <v>0</v>
      </c>
    </row>
    <row r="34" spans="1:11" ht="45">
      <c r="A34" s="21"/>
      <c r="B34" s="99" t="s">
        <v>296</v>
      </c>
      <c r="C34" s="28" t="s">
        <v>12</v>
      </c>
      <c r="D34" s="29">
        <v>1</v>
      </c>
      <c r="E34" s="29">
        <v>0</v>
      </c>
      <c r="F34" s="20">
        <f t="shared" si="0"/>
        <v>0</v>
      </c>
      <c r="G34" s="29"/>
      <c r="H34" s="20">
        <f t="shared" si="1"/>
        <v>0</v>
      </c>
      <c r="I34" s="29"/>
      <c r="J34" s="20">
        <f t="shared" si="2"/>
        <v>0</v>
      </c>
      <c r="K34" s="20">
        <f t="shared" si="3"/>
        <v>0</v>
      </c>
    </row>
    <row r="35" spans="1:11">
      <c r="A35" s="6"/>
      <c r="B35" s="95" t="s">
        <v>6</v>
      </c>
      <c r="C35" s="14"/>
      <c r="D35" s="20"/>
      <c r="E35" s="20"/>
      <c r="F35" s="20">
        <f>SUM(F7:F34)</f>
        <v>0</v>
      </c>
      <c r="G35" s="20"/>
      <c r="H35" s="20">
        <f>SUM(H7:H34)</f>
        <v>0</v>
      </c>
      <c r="I35" s="20"/>
      <c r="J35" s="20">
        <f>SUM(J7:J34)</f>
        <v>0</v>
      </c>
      <c r="K35" s="37">
        <f>SUM(K7:K34)</f>
        <v>0</v>
      </c>
    </row>
    <row r="36" spans="1:11" ht="15.75">
      <c r="A36" s="7"/>
      <c r="B36" s="107" t="s">
        <v>14</v>
      </c>
      <c r="C36" s="74">
        <v>0.05</v>
      </c>
      <c r="D36" s="73"/>
      <c r="E36" s="35"/>
      <c r="F36" s="35"/>
      <c r="G36" s="73"/>
      <c r="H36" s="73"/>
      <c r="I36" s="73"/>
      <c r="J36" s="35"/>
      <c r="K36" s="46">
        <f>F35*C36</f>
        <v>0</v>
      </c>
    </row>
    <row r="37" spans="1:11" ht="15.75">
      <c r="A37" s="7"/>
      <c r="B37" s="107" t="s">
        <v>6</v>
      </c>
      <c r="C37" s="92"/>
      <c r="D37" s="73"/>
      <c r="E37" s="35"/>
      <c r="F37" s="35"/>
      <c r="G37" s="73"/>
      <c r="H37" s="73"/>
      <c r="I37" s="73"/>
      <c r="J37" s="35"/>
      <c r="K37" s="46">
        <f>K36+K35</f>
        <v>0</v>
      </c>
    </row>
    <row r="38" spans="1:11" ht="15.75">
      <c r="A38" s="7"/>
      <c r="B38" s="107" t="s">
        <v>177</v>
      </c>
      <c r="C38" s="74">
        <v>0.12</v>
      </c>
      <c r="D38" s="73"/>
      <c r="E38" s="35"/>
      <c r="F38" s="35"/>
      <c r="G38" s="73"/>
      <c r="H38" s="73"/>
      <c r="I38" s="73"/>
      <c r="J38" s="35"/>
      <c r="K38" s="46">
        <f>K37*C38</f>
        <v>0</v>
      </c>
    </row>
    <row r="39" spans="1:11" ht="15.75">
      <c r="A39" s="7"/>
      <c r="B39" s="107" t="s">
        <v>6</v>
      </c>
      <c r="C39" s="92"/>
      <c r="D39" s="73"/>
      <c r="E39" s="35"/>
      <c r="F39" s="35"/>
      <c r="G39" s="73"/>
      <c r="H39" s="73"/>
      <c r="I39" s="73"/>
      <c r="J39" s="35"/>
      <c r="K39" s="46">
        <f>K38+K37</f>
        <v>0</v>
      </c>
    </row>
    <row r="40" spans="1:11">
      <c r="A40" s="7"/>
      <c r="B40" s="107" t="s">
        <v>193</v>
      </c>
      <c r="C40" s="74">
        <v>0.08</v>
      </c>
      <c r="D40" s="75"/>
      <c r="E40" s="30"/>
      <c r="F40" s="76"/>
      <c r="G40" s="75"/>
      <c r="H40" s="75"/>
      <c r="I40" s="75"/>
      <c r="J40" s="30"/>
      <c r="K40" s="41">
        <f>K39*C40</f>
        <v>0</v>
      </c>
    </row>
    <row r="41" spans="1:11" ht="15.75">
      <c r="A41" s="8"/>
      <c r="B41" s="107" t="s">
        <v>6</v>
      </c>
      <c r="C41" s="92"/>
      <c r="D41" s="73"/>
      <c r="E41" s="35"/>
      <c r="F41" s="35"/>
      <c r="G41" s="73"/>
      <c r="H41" s="73"/>
      <c r="I41" s="73"/>
      <c r="J41" s="35"/>
      <c r="K41" s="46">
        <f>K40+K39</f>
        <v>0</v>
      </c>
    </row>
    <row r="42" spans="1:11" ht="15.75">
      <c r="A42" s="8"/>
      <c r="B42" s="108" t="s">
        <v>20</v>
      </c>
      <c r="C42" s="93">
        <v>0.03</v>
      </c>
      <c r="D42" s="77"/>
      <c r="E42" s="78"/>
      <c r="F42" s="78"/>
      <c r="G42" s="77"/>
      <c r="H42" s="77"/>
      <c r="I42" s="77"/>
      <c r="J42" s="78"/>
      <c r="K42" s="79">
        <f>K41*C42</f>
        <v>0</v>
      </c>
    </row>
    <row r="43" spans="1:11" ht="15.75">
      <c r="A43" s="8"/>
      <c r="B43" s="109" t="s">
        <v>178</v>
      </c>
      <c r="C43" s="74">
        <v>0.02</v>
      </c>
      <c r="D43" s="80"/>
      <c r="E43" s="80"/>
      <c r="F43" s="81"/>
      <c r="G43" s="82"/>
      <c r="H43" s="82"/>
      <c r="I43" s="82"/>
      <c r="J43" s="81"/>
      <c r="K43" s="83">
        <f>H35*C43</f>
        <v>0</v>
      </c>
    </row>
    <row r="44" spans="1:11" ht="15.75">
      <c r="A44" s="8"/>
      <c r="B44" s="110" t="s">
        <v>6</v>
      </c>
      <c r="C44" s="84"/>
      <c r="D44" s="80"/>
      <c r="E44" s="80"/>
      <c r="F44" s="81"/>
      <c r="G44" s="82"/>
      <c r="H44" s="82"/>
      <c r="I44" s="82"/>
      <c r="J44" s="81"/>
      <c r="K44" s="83">
        <f>K43+K42+K41</f>
        <v>0</v>
      </c>
    </row>
    <row r="45" spans="1:11" ht="15.75">
      <c r="A45" s="7"/>
      <c r="B45" s="111" t="s">
        <v>179</v>
      </c>
      <c r="C45" s="85">
        <v>0.18</v>
      </c>
      <c r="D45" s="86"/>
      <c r="E45" s="86"/>
      <c r="F45" s="86"/>
      <c r="G45" s="86"/>
      <c r="H45" s="86"/>
      <c r="I45" s="86"/>
      <c r="J45" s="86"/>
      <c r="K45" s="87">
        <f>K44*C45</f>
        <v>0</v>
      </c>
    </row>
    <row r="46" spans="1:11" ht="15.75">
      <c r="A46" s="6"/>
      <c r="B46" s="112" t="s">
        <v>6</v>
      </c>
      <c r="C46" s="94"/>
      <c r="D46" s="88"/>
      <c r="E46" s="88"/>
      <c r="F46" s="88"/>
      <c r="G46" s="88"/>
      <c r="H46" s="88"/>
      <c r="I46" s="88"/>
      <c r="J46" s="88"/>
      <c r="K46" s="89">
        <f>K45+K44</f>
        <v>0</v>
      </c>
    </row>
    <row r="48" spans="1:11">
      <c r="B48" s="120"/>
      <c r="C48" s="115"/>
      <c r="D48" s="116"/>
      <c r="E48" s="117"/>
      <c r="F48" s="118"/>
      <c r="G48" s="117"/>
      <c r="H48" s="118"/>
      <c r="I48" s="119"/>
      <c r="J48" s="118"/>
      <c r="K48" s="118"/>
    </row>
    <row r="49" spans="2:11">
      <c r="B49" s="156"/>
      <c r="C49" s="156"/>
      <c r="D49" s="156"/>
      <c r="E49" s="156"/>
      <c r="F49" s="156"/>
      <c r="G49" s="156"/>
      <c r="H49" s="156"/>
      <c r="I49" s="156"/>
      <c r="J49" s="156"/>
      <c r="K49" s="156"/>
    </row>
  </sheetData>
  <mergeCells count="12">
    <mergeCell ref="B49:K49"/>
    <mergeCell ref="K3:K4"/>
    <mergeCell ref="A1:K1"/>
    <mergeCell ref="C2:I2"/>
    <mergeCell ref="J2:K2"/>
    <mergeCell ref="A3:A4"/>
    <mergeCell ref="B3:B4"/>
    <mergeCell ref="C3:C4"/>
    <mergeCell ref="D3:D4"/>
    <mergeCell ref="E3:F3"/>
    <mergeCell ref="G3:H3"/>
    <mergeCell ref="I3:J3"/>
  </mergeCells>
  <conditionalFormatting sqref="D48">
    <cfRule type="cellIs" dxfId="14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K57"/>
  <sheetViews>
    <sheetView workbookViewId="0">
      <selection activeCell="C3" sqref="C3:C4"/>
    </sheetView>
  </sheetViews>
  <sheetFormatPr defaultRowHeight="15"/>
  <cols>
    <col min="1" max="1" width="5" customWidth="1"/>
    <col min="2" max="2" width="59.5703125" customWidth="1"/>
    <col min="11" max="11" width="10.5703125" customWidth="1"/>
  </cols>
  <sheetData>
    <row r="1" spans="1:11">
      <c r="A1" s="143" t="s">
        <v>238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6.25" customHeight="1">
      <c r="A2" s="12"/>
      <c r="B2" s="43"/>
      <c r="C2" s="146" t="s">
        <v>303</v>
      </c>
      <c r="D2" s="146"/>
      <c r="E2" s="146"/>
      <c r="F2" s="146"/>
      <c r="G2" s="146"/>
      <c r="H2" s="146"/>
      <c r="I2" s="146"/>
      <c r="J2" s="144">
        <f>K54</f>
        <v>0</v>
      </c>
      <c r="K2" s="145"/>
    </row>
    <row r="3" spans="1:11" ht="29.25" customHeight="1">
      <c r="A3" s="147" t="s">
        <v>0</v>
      </c>
      <c r="B3" s="147" t="s">
        <v>1</v>
      </c>
      <c r="C3" s="147" t="s">
        <v>2</v>
      </c>
      <c r="D3" s="153" t="s">
        <v>3</v>
      </c>
      <c r="E3" s="149" t="s">
        <v>4</v>
      </c>
      <c r="F3" s="150"/>
      <c r="G3" s="149" t="s">
        <v>5</v>
      </c>
      <c r="H3" s="150"/>
      <c r="I3" s="151" t="s">
        <v>28</v>
      </c>
      <c r="J3" s="152"/>
      <c r="K3" s="147" t="s">
        <v>6</v>
      </c>
    </row>
    <row r="4" spans="1:11">
      <c r="A4" s="148"/>
      <c r="B4" s="148"/>
      <c r="C4" s="148"/>
      <c r="D4" s="154"/>
      <c r="E4" s="49" t="s">
        <v>7</v>
      </c>
      <c r="F4" s="50" t="s">
        <v>6</v>
      </c>
      <c r="G4" s="49" t="s">
        <v>7</v>
      </c>
      <c r="H4" s="50" t="s">
        <v>6</v>
      </c>
      <c r="I4" s="49" t="s">
        <v>7</v>
      </c>
      <c r="J4" s="50" t="s">
        <v>6</v>
      </c>
      <c r="K4" s="148"/>
    </row>
    <row r="5" spans="1:11">
      <c r="A5" s="16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</row>
    <row r="6" spans="1:11">
      <c r="A6" s="21">
        <v>1</v>
      </c>
      <c r="B6" s="102" t="s">
        <v>209</v>
      </c>
      <c r="C6" s="106" t="s">
        <v>237</v>
      </c>
      <c r="D6" s="113">
        <v>30</v>
      </c>
      <c r="E6" s="33">
        <v>0</v>
      </c>
      <c r="F6" s="20">
        <f t="shared" ref="F6:F42" si="0">E6*D6</f>
        <v>0</v>
      </c>
      <c r="G6" s="33">
        <v>0</v>
      </c>
      <c r="H6" s="20">
        <f t="shared" ref="H6:H41" si="1">G6*D6</f>
        <v>0</v>
      </c>
      <c r="I6" s="29">
        <v>0</v>
      </c>
      <c r="J6" s="20">
        <f t="shared" ref="J6:J41" si="2">I6*D6</f>
        <v>0</v>
      </c>
      <c r="K6" s="20">
        <f t="shared" ref="K6:K41" si="3">J6+H6+F6</f>
        <v>0</v>
      </c>
    </row>
    <row r="7" spans="1:11">
      <c r="A7" s="21">
        <v>2</v>
      </c>
      <c r="B7" s="102" t="s">
        <v>210</v>
      </c>
      <c r="C7" s="106" t="s">
        <v>237</v>
      </c>
      <c r="D7" s="113">
        <v>30</v>
      </c>
      <c r="E7" s="33">
        <v>0</v>
      </c>
      <c r="F7" s="20">
        <f t="shared" si="0"/>
        <v>0</v>
      </c>
      <c r="G7" s="33">
        <v>0</v>
      </c>
      <c r="H7" s="20">
        <f t="shared" si="1"/>
        <v>0</v>
      </c>
      <c r="I7" s="29">
        <v>0</v>
      </c>
      <c r="J7" s="20">
        <f t="shared" si="2"/>
        <v>0</v>
      </c>
      <c r="K7" s="20">
        <f t="shared" si="3"/>
        <v>0</v>
      </c>
    </row>
    <row r="8" spans="1:11">
      <c r="A8" s="21">
        <v>3</v>
      </c>
      <c r="B8" s="102" t="s">
        <v>211</v>
      </c>
      <c r="C8" s="106" t="s">
        <v>237</v>
      </c>
      <c r="D8" s="113">
        <v>110</v>
      </c>
      <c r="E8" s="33">
        <v>0</v>
      </c>
      <c r="F8" s="20">
        <f t="shared" si="0"/>
        <v>0</v>
      </c>
      <c r="G8" s="33">
        <v>0</v>
      </c>
      <c r="H8" s="20">
        <f t="shared" si="1"/>
        <v>0</v>
      </c>
      <c r="I8" s="29">
        <v>0</v>
      </c>
      <c r="J8" s="20">
        <f t="shared" si="2"/>
        <v>0</v>
      </c>
      <c r="K8" s="20">
        <f t="shared" si="3"/>
        <v>0</v>
      </c>
    </row>
    <row r="9" spans="1:11">
      <c r="A9" s="21">
        <v>4</v>
      </c>
      <c r="B9" s="102" t="s">
        <v>212</v>
      </c>
      <c r="C9" s="106" t="s">
        <v>237</v>
      </c>
      <c r="D9" s="113">
        <v>70</v>
      </c>
      <c r="E9" s="33">
        <v>0</v>
      </c>
      <c r="F9" s="20">
        <f t="shared" si="0"/>
        <v>0</v>
      </c>
      <c r="G9" s="33">
        <v>0</v>
      </c>
      <c r="H9" s="20">
        <f t="shared" si="1"/>
        <v>0</v>
      </c>
      <c r="I9" s="29">
        <v>0</v>
      </c>
      <c r="J9" s="20">
        <f t="shared" si="2"/>
        <v>0</v>
      </c>
      <c r="K9" s="20">
        <f t="shared" si="3"/>
        <v>0</v>
      </c>
    </row>
    <row r="10" spans="1:11">
      <c r="A10" s="21">
        <v>5</v>
      </c>
      <c r="B10" s="102" t="s">
        <v>240</v>
      </c>
      <c r="C10" s="106" t="s">
        <v>237</v>
      </c>
      <c r="D10" s="113">
        <v>1400</v>
      </c>
      <c r="E10" s="33">
        <v>0</v>
      </c>
      <c r="F10" s="20">
        <f t="shared" si="0"/>
        <v>0</v>
      </c>
      <c r="G10" s="33">
        <v>0</v>
      </c>
      <c r="H10" s="20">
        <f t="shared" si="1"/>
        <v>0</v>
      </c>
      <c r="I10" s="29">
        <v>0</v>
      </c>
      <c r="J10" s="20">
        <f t="shared" si="2"/>
        <v>0</v>
      </c>
      <c r="K10" s="20">
        <f t="shared" si="3"/>
        <v>0</v>
      </c>
    </row>
    <row r="11" spans="1:11">
      <c r="A11" s="21">
        <v>6</v>
      </c>
      <c r="B11" s="102" t="s">
        <v>239</v>
      </c>
      <c r="C11" s="106" t="s">
        <v>237</v>
      </c>
      <c r="D11" s="113">
        <v>1400</v>
      </c>
      <c r="E11" s="33">
        <v>0</v>
      </c>
      <c r="F11" s="20">
        <f t="shared" si="0"/>
        <v>0</v>
      </c>
      <c r="G11" s="33">
        <v>0</v>
      </c>
      <c r="H11" s="20">
        <f t="shared" si="1"/>
        <v>0</v>
      </c>
      <c r="I11" s="29">
        <v>0</v>
      </c>
      <c r="J11" s="20">
        <f t="shared" si="2"/>
        <v>0</v>
      </c>
      <c r="K11" s="20">
        <f t="shared" si="3"/>
        <v>0</v>
      </c>
    </row>
    <row r="12" spans="1:11">
      <c r="A12" s="21">
        <v>7</v>
      </c>
      <c r="B12" s="102" t="s">
        <v>241</v>
      </c>
      <c r="C12" s="106" t="s">
        <v>237</v>
      </c>
      <c r="D12" s="113">
        <v>2400</v>
      </c>
      <c r="E12" s="33">
        <v>0</v>
      </c>
      <c r="F12" s="20">
        <f t="shared" si="0"/>
        <v>0</v>
      </c>
      <c r="G12" s="33">
        <v>0</v>
      </c>
      <c r="H12" s="20">
        <f t="shared" si="1"/>
        <v>0</v>
      </c>
      <c r="I12" s="29">
        <v>0</v>
      </c>
      <c r="J12" s="20">
        <f t="shared" si="2"/>
        <v>0</v>
      </c>
      <c r="K12" s="20">
        <f t="shared" si="3"/>
        <v>0</v>
      </c>
    </row>
    <row r="13" spans="1:11">
      <c r="A13" s="21">
        <v>8</v>
      </c>
      <c r="B13" s="102" t="s">
        <v>213</v>
      </c>
      <c r="C13" s="106" t="s">
        <v>38</v>
      </c>
      <c r="D13" s="113">
        <v>2000</v>
      </c>
      <c r="E13" s="33">
        <v>0</v>
      </c>
      <c r="F13" s="20">
        <f t="shared" si="0"/>
        <v>0</v>
      </c>
      <c r="G13" s="33">
        <v>0</v>
      </c>
      <c r="H13" s="20">
        <f t="shared" si="1"/>
        <v>0</v>
      </c>
      <c r="I13" s="29">
        <v>0</v>
      </c>
      <c r="J13" s="20">
        <f t="shared" si="2"/>
        <v>0</v>
      </c>
      <c r="K13" s="20">
        <f t="shared" si="3"/>
        <v>0</v>
      </c>
    </row>
    <row r="14" spans="1:11">
      <c r="A14" s="21">
        <v>9</v>
      </c>
      <c r="B14" s="102" t="s">
        <v>214</v>
      </c>
      <c r="C14" s="106" t="s">
        <v>38</v>
      </c>
      <c r="D14" s="113">
        <v>10</v>
      </c>
      <c r="E14" s="33">
        <v>0</v>
      </c>
      <c r="F14" s="20">
        <f t="shared" si="0"/>
        <v>0</v>
      </c>
      <c r="G14" s="33">
        <v>0</v>
      </c>
      <c r="H14" s="20">
        <f t="shared" si="1"/>
        <v>0</v>
      </c>
      <c r="I14" s="29"/>
      <c r="J14" s="20">
        <f t="shared" si="2"/>
        <v>0</v>
      </c>
      <c r="K14" s="20">
        <f t="shared" si="3"/>
        <v>0</v>
      </c>
    </row>
    <row r="15" spans="1:11" ht="30">
      <c r="A15" s="21">
        <v>10</v>
      </c>
      <c r="B15" s="102" t="s">
        <v>215</v>
      </c>
      <c r="C15" s="106" t="s">
        <v>38</v>
      </c>
      <c r="D15" s="113">
        <v>52</v>
      </c>
      <c r="E15" s="33">
        <v>0</v>
      </c>
      <c r="F15" s="20">
        <f t="shared" si="0"/>
        <v>0</v>
      </c>
      <c r="G15" s="33">
        <v>0</v>
      </c>
      <c r="H15" s="20">
        <f t="shared" si="1"/>
        <v>0</v>
      </c>
      <c r="I15" s="29">
        <v>0</v>
      </c>
      <c r="J15" s="20">
        <f t="shared" si="2"/>
        <v>0</v>
      </c>
      <c r="K15" s="20">
        <f t="shared" si="3"/>
        <v>0</v>
      </c>
    </row>
    <row r="16" spans="1:11" ht="30">
      <c r="A16" s="21">
        <v>11</v>
      </c>
      <c r="B16" s="102" t="s">
        <v>216</v>
      </c>
      <c r="C16" s="106" t="s">
        <v>38</v>
      </c>
      <c r="D16" s="113">
        <v>560</v>
      </c>
      <c r="E16" s="33">
        <v>0</v>
      </c>
      <c r="F16" s="20">
        <f t="shared" si="0"/>
        <v>0</v>
      </c>
      <c r="G16" s="33">
        <v>0</v>
      </c>
      <c r="H16" s="20">
        <f t="shared" si="1"/>
        <v>0</v>
      </c>
      <c r="I16" s="29">
        <v>0</v>
      </c>
      <c r="J16" s="20">
        <f t="shared" si="2"/>
        <v>0</v>
      </c>
      <c r="K16" s="20">
        <f t="shared" si="3"/>
        <v>0</v>
      </c>
    </row>
    <row r="17" spans="1:11" ht="30">
      <c r="A17" s="21">
        <v>12</v>
      </c>
      <c r="B17" s="102" t="s">
        <v>217</v>
      </c>
      <c r="C17" s="106" t="s">
        <v>9</v>
      </c>
      <c r="D17" s="113">
        <v>85</v>
      </c>
      <c r="E17" s="33">
        <v>0</v>
      </c>
      <c r="F17" s="20">
        <f t="shared" si="0"/>
        <v>0</v>
      </c>
      <c r="G17" s="33">
        <v>0</v>
      </c>
      <c r="H17" s="20">
        <f t="shared" si="1"/>
        <v>0</v>
      </c>
      <c r="I17" s="29">
        <v>0</v>
      </c>
      <c r="J17" s="20">
        <f t="shared" si="2"/>
        <v>0</v>
      </c>
      <c r="K17" s="20">
        <f t="shared" si="3"/>
        <v>0</v>
      </c>
    </row>
    <row r="18" spans="1:11" ht="30">
      <c r="A18" s="21">
        <v>13</v>
      </c>
      <c r="B18" s="102" t="s">
        <v>218</v>
      </c>
      <c r="C18" s="106" t="s">
        <v>9</v>
      </c>
      <c r="D18" s="113">
        <v>15</v>
      </c>
      <c r="E18" s="33">
        <v>0</v>
      </c>
      <c r="F18" s="20">
        <f t="shared" si="0"/>
        <v>0</v>
      </c>
      <c r="G18" s="33">
        <v>0</v>
      </c>
      <c r="H18" s="20">
        <f t="shared" si="1"/>
        <v>0</v>
      </c>
      <c r="I18" s="29">
        <v>0</v>
      </c>
      <c r="J18" s="20">
        <f t="shared" si="2"/>
        <v>0</v>
      </c>
      <c r="K18" s="20">
        <f t="shared" si="3"/>
        <v>0</v>
      </c>
    </row>
    <row r="19" spans="1:11" ht="30">
      <c r="A19" s="21">
        <v>14</v>
      </c>
      <c r="B19" s="102" t="s">
        <v>219</v>
      </c>
      <c r="C19" s="106" t="s">
        <v>38</v>
      </c>
      <c r="D19" s="113">
        <v>20</v>
      </c>
      <c r="E19" s="33">
        <v>0</v>
      </c>
      <c r="F19" s="20">
        <f t="shared" si="0"/>
        <v>0</v>
      </c>
      <c r="G19" s="33">
        <v>0</v>
      </c>
      <c r="H19" s="20">
        <f t="shared" si="1"/>
        <v>0</v>
      </c>
      <c r="I19" s="29">
        <v>0</v>
      </c>
      <c r="J19" s="20">
        <f t="shared" si="2"/>
        <v>0</v>
      </c>
      <c r="K19" s="20">
        <f t="shared" si="3"/>
        <v>0</v>
      </c>
    </row>
    <row r="20" spans="1:11" ht="30">
      <c r="A20" s="21">
        <v>15</v>
      </c>
      <c r="B20" s="103" t="s">
        <v>220</v>
      </c>
      <c r="C20" s="106" t="s">
        <v>38</v>
      </c>
      <c r="D20" s="113">
        <v>296</v>
      </c>
      <c r="E20" s="33">
        <v>0</v>
      </c>
      <c r="F20" s="20">
        <f t="shared" si="0"/>
        <v>0</v>
      </c>
      <c r="G20" s="33">
        <v>0</v>
      </c>
      <c r="H20" s="20">
        <f t="shared" si="1"/>
        <v>0</v>
      </c>
      <c r="I20" s="29">
        <v>0</v>
      </c>
      <c r="J20" s="20">
        <f t="shared" si="2"/>
        <v>0</v>
      </c>
      <c r="K20" s="20">
        <f t="shared" si="3"/>
        <v>0</v>
      </c>
    </row>
    <row r="21" spans="1:11" ht="30">
      <c r="A21" s="21">
        <v>16</v>
      </c>
      <c r="B21" s="104" t="s">
        <v>230</v>
      </c>
      <c r="C21" s="106" t="s">
        <v>38</v>
      </c>
      <c r="D21" s="113">
        <v>37</v>
      </c>
      <c r="E21" s="33">
        <v>0</v>
      </c>
      <c r="F21" s="20">
        <f t="shared" si="0"/>
        <v>0</v>
      </c>
      <c r="G21" s="33">
        <v>0</v>
      </c>
      <c r="H21" s="20">
        <f t="shared" si="1"/>
        <v>0</v>
      </c>
      <c r="I21" s="29">
        <v>0</v>
      </c>
      <c r="J21" s="20">
        <f t="shared" si="2"/>
        <v>0</v>
      </c>
      <c r="K21" s="20">
        <f t="shared" si="3"/>
        <v>0</v>
      </c>
    </row>
    <row r="22" spans="1:11" ht="30">
      <c r="A22" s="21">
        <v>17</v>
      </c>
      <c r="B22" s="104" t="s">
        <v>231</v>
      </c>
      <c r="C22" s="106" t="s">
        <v>38</v>
      </c>
      <c r="D22" s="113">
        <v>10</v>
      </c>
      <c r="E22" s="33">
        <v>0</v>
      </c>
      <c r="F22" s="20">
        <f t="shared" si="0"/>
        <v>0</v>
      </c>
      <c r="G22" s="33">
        <v>0</v>
      </c>
      <c r="H22" s="20">
        <f t="shared" si="1"/>
        <v>0</v>
      </c>
      <c r="I22" s="29">
        <v>0</v>
      </c>
      <c r="J22" s="20">
        <f t="shared" si="2"/>
        <v>0</v>
      </c>
      <c r="K22" s="20">
        <f t="shared" si="3"/>
        <v>0</v>
      </c>
    </row>
    <row r="23" spans="1:11">
      <c r="A23" s="21">
        <v>18</v>
      </c>
      <c r="B23" s="97" t="s">
        <v>195</v>
      </c>
      <c r="C23" s="28" t="s">
        <v>9</v>
      </c>
      <c r="D23" s="33">
        <v>3</v>
      </c>
      <c r="E23" s="33">
        <v>0</v>
      </c>
      <c r="F23" s="20">
        <f t="shared" si="0"/>
        <v>0</v>
      </c>
      <c r="G23" s="33">
        <v>0</v>
      </c>
      <c r="H23" s="20">
        <f t="shared" ref="H23" si="4">G23*D23</f>
        <v>0</v>
      </c>
      <c r="I23" s="29">
        <v>0</v>
      </c>
      <c r="J23" s="20">
        <f t="shared" ref="J23" si="5">I23*D23</f>
        <v>0</v>
      </c>
      <c r="K23" s="20">
        <f t="shared" ref="K23" si="6">J23+H23+F23</f>
        <v>0</v>
      </c>
    </row>
    <row r="24" spans="1:11">
      <c r="A24" s="21">
        <v>19</v>
      </c>
      <c r="B24" s="103" t="s">
        <v>221</v>
      </c>
      <c r="C24" s="106" t="s">
        <v>242</v>
      </c>
      <c r="D24" s="113">
        <v>1</v>
      </c>
      <c r="E24" s="33">
        <v>0</v>
      </c>
      <c r="F24" s="20">
        <f t="shared" si="0"/>
        <v>0</v>
      </c>
      <c r="G24" s="33">
        <v>0</v>
      </c>
      <c r="H24" s="20">
        <f t="shared" si="1"/>
        <v>0</v>
      </c>
      <c r="I24" s="29">
        <v>0</v>
      </c>
      <c r="J24" s="20">
        <f t="shared" si="2"/>
        <v>0</v>
      </c>
      <c r="K24" s="20">
        <f t="shared" si="3"/>
        <v>0</v>
      </c>
    </row>
    <row r="25" spans="1:11">
      <c r="A25" s="21">
        <v>20</v>
      </c>
      <c r="B25" s="104" t="s">
        <v>232</v>
      </c>
      <c r="C25" s="106" t="s">
        <v>237</v>
      </c>
      <c r="D25" s="113">
        <v>3000</v>
      </c>
      <c r="E25" s="33">
        <v>0</v>
      </c>
      <c r="F25" s="20">
        <f t="shared" si="0"/>
        <v>0</v>
      </c>
      <c r="G25" s="33">
        <v>0</v>
      </c>
      <c r="H25" s="20">
        <f t="shared" si="1"/>
        <v>0</v>
      </c>
      <c r="I25" s="29">
        <v>0</v>
      </c>
      <c r="J25" s="20">
        <f t="shared" si="2"/>
        <v>0</v>
      </c>
      <c r="K25" s="20">
        <f t="shared" si="3"/>
        <v>0</v>
      </c>
    </row>
    <row r="26" spans="1:11" ht="30">
      <c r="A26" s="21">
        <v>21</v>
      </c>
      <c r="B26" s="104" t="s">
        <v>243</v>
      </c>
      <c r="C26" s="106" t="s">
        <v>9</v>
      </c>
      <c r="D26" s="113">
        <v>7</v>
      </c>
      <c r="E26" s="33">
        <v>0</v>
      </c>
      <c r="F26" s="20">
        <f t="shared" si="0"/>
        <v>0</v>
      </c>
      <c r="G26" s="33">
        <v>0</v>
      </c>
      <c r="H26" s="20">
        <f t="shared" si="1"/>
        <v>0</v>
      </c>
      <c r="I26" s="29">
        <v>0</v>
      </c>
      <c r="J26" s="20">
        <f t="shared" si="2"/>
        <v>0</v>
      </c>
      <c r="K26" s="20">
        <f t="shared" si="3"/>
        <v>0</v>
      </c>
    </row>
    <row r="27" spans="1:11">
      <c r="A27" s="21">
        <v>22</v>
      </c>
      <c r="B27" s="104" t="s">
        <v>233</v>
      </c>
      <c r="C27" s="106" t="s">
        <v>38</v>
      </c>
      <c r="D27" s="113">
        <v>1</v>
      </c>
      <c r="E27" s="33">
        <v>0</v>
      </c>
      <c r="F27" s="20">
        <f t="shared" si="0"/>
        <v>0</v>
      </c>
      <c r="G27" s="33">
        <v>0</v>
      </c>
      <c r="H27" s="20">
        <f t="shared" si="1"/>
        <v>0</v>
      </c>
      <c r="I27" s="29">
        <v>0</v>
      </c>
      <c r="J27" s="20">
        <f t="shared" si="2"/>
        <v>0</v>
      </c>
      <c r="K27" s="20">
        <f t="shared" si="3"/>
        <v>0</v>
      </c>
    </row>
    <row r="28" spans="1:11">
      <c r="A28" s="21">
        <v>23</v>
      </c>
      <c r="B28" s="104" t="s">
        <v>222</v>
      </c>
      <c r="C28" s="106" t="s">
        <v>38</v>
      </c>
      <c r="D28" s="113">
        <v>35</v>
      </c>
      <c r="E28" s="33">
        <v>0</v>
      </c>
      <c r="F28" s="20">
        <f t="shared" si="0"/>
        <v>0</v>
      </c>
      <c r="G28" s="33">
        <v>0</v>
      </c>
      <c r="H28" s="20">
        <f t="shared" si="1"/>
        <v>0</v>
      </c>
      <c r="I28" s="29">
        <v>0</v>
      </c>
      <c r="J28" s="20">
        <f t="shared" si="2"/>
        <v>0</v>
      </c>
      <c r="K28" s="20">
        <f t="shared" si="3"/>
        <v>0</v>
      </c>
    </row>
    <row r="29" spans="1:11">
      <c r="A29" s="21">
        <v>24</v>
      </c>
      <c r="B29" s="104" t="s">
        <v>223</v>
      </c>
      <c r="C29" s="106" t="s">
        <v>38</v>
      </c>
      <c r="D29" s="113">
        <v>14</v>
      </c>
      <c r="E29" s="33">
        <v>0</v>
      </c>
      <c r="F29" s="20">
        <f t="shared" si="0"/>
        <v>0</v>
      </c>
      <c r="G29" s="33">
        <v>0</v>
      </c>
      <c r="H29" s="20">
        <f t="shared" si="1"/>
        <v>0</v>
      </c>
      <c r="I29" s="29">
        <v>0</v>
      </c>
      <c r="J29" s="20">
        <f t="shared" si="2"/>
        <v>0</v>
      </c>
      <c r="K29" s="20">
        <f t="shared" si="3"/>
        <v>0</v>
      </c>
    </row>
    <row r="30" spans="1:11">
      <c r="A30" s="21">
        <v>25</v>
      </c>
      <c r="B30" s="104" t="s">
        <v>224</v>
      </c>
      <c r="C30" s="106" t="s">
        <v>38</v>
      </c>
      <c r="D30" s="113">
        <v>70</v>
      </c>
      <c r="E30" s="33">
        <v>0</v>
      </c>
      <c r="F30" s="20">
        <f t="shared" si="0"/>
        <v>0</v>
      </c>
      <c r="G30" s="33">
        <v>0</v>
      </c>
      <c r="H30" s="20">
        <f t="shared" si="1"/>
        <v>0</v>
      </c>
      <c r="I30" s="29">
        <v>0</v>
      </c>
      <c r="J30" s="20">
        <f t="shared" si="2"/>
        <v>0</v>
      </c>
      <c r="K30" s="20">
        <f t="shared" si="3"/>
        <v>0</v>
      </c>
    </row>
    <row r="31" spans="1:11">
      <c r="A31" s="21">
        <v>26</v>
      </c>
      <c r="B31" s="104" t="s">
        <v>225</v>
      </c>
      <c r="C31" s="106" t="s">
        <v>38</v>
      </c>
      <c r="D31" s="113">
        <v>5</v>
      </c>
      <c r="E31" s="33">
        <v>0</v>
      </c>
      <c r="F31" s="20">
        <f t="shared" si="0"/>
        <v>0</v>
      </c>
      <c r="G31" s="33">
        <v>0</v>
      </c>
      <c r="H31" s="20">
        <f t="shared" si="1"/>
        <v>0</v>
      </c>
      <c r="I31" s="29">
        <v>0</v>
      </c>
      <c r="J31" s="20">
        <f t="shared" si="2"/>
        <v>0</v>
      </c>
      <c r="K31" s="20">
        <f t="shared" si="3"/>
        <v>0</v>
      </c>
    </row>
    <row r="32" spans="1:11">
      <c r="A32" s="21">
        <v>27</v>
      </c>
      <c r="B32" s="104" t="s">
        <v>244</v>
      </c>
      <c r="C32" s="106" t="s">
        <v>38</v>
      </c>
      <c r="D32" s="113">
        <v>4</v>
      </c>
      <c r="E32" s="33">
        <v>0</v>
      </c>
      <c r="F32" s="20">
        <f t="shared" si="0"/>
        <v>0</v>
      </c>
      <c r="G32" s="33">
        <v>0</v>
      </c>
      <c r="H32" s="20">
        <f t="shared" si="1"/>
        <v>0</v>
      </c>
      <c r="I32" s="29">
        <v>0</v>
      </c>
      <c r="J32" s="20">
        <f t="shared" si="2"/>
        <v>0</v>
      </c>
      <c r="K32" s="20">
        <f t="shared" si="3"/>
        <v>0</v>
      </c>
    </row>
    <row r="33" spans="1:11">
      <c r="A33" s="21">
        <v>28</v>
      </c>
      <c r="B33" s="104" t="s">
        <v>226</v>
      </c>
      <c r="C33" s="106" t="s">
        <v>38</v>
      </c>
      <c r="D33" s="113">
        <v>10</v>
      </c>
      <c r="E33" s="33">
        <v>0</v>
      </c>
      <c r="F33" s="20">
        <f t="shared" si="0"/>
        <v>0</v>
      </c>
      <c r="G33" s="33">
        <v>0</v>
      </c>
      <c r="H33" s="20">
        <f t="shared" si="1"/>
        <v>0</v>
      </c>
      <c r="I33" s="29">
        <v>0</v>
      </c>
      <c r="J33" s="20">
        <f t="shared" si="2"/>
        <v>0</v>
      </c>
      <c r="K33" s="20">
        <f t="shared" si="3"/>
        <v>0</v>
      </c>
    </row>
    <row r="34" spans="1:11">
      <c r="A34" s="21">
        <v>29</v>
      </c>
      <c r="B34" s="104" t="s">
        <v>227</v>
      </c>
      <c r="C34" s="106" t="s">
        <v>38</v>
      </c>
      <c r="D34" s="113">
        <v>2</v>
      </c>
      <c r="E34" s="33">
        <v>0</v>
      </c>
      <c r="F34" s="20">
        <f t="shared" si="0"/>
        <v>0</v>
      </c>
      <c r="G34" s="33">
        <v>0</v>
      </c>
      <c r="H34" s="20">
        <f t="shared" si="1"/>
        <v>0</v>
      </c>
      <c r="I34" s="29">
        <v>0</v>
      </c>
      <c r="J34" s="20">
        <f t="shared" si="2"/>
        <v>0</v>
      </c>
      <c r="K34" s="20">
        <f t="shared" si="3"/>
        <v>0</v>
      </c>
    </row>
    <row r="35" spans="1:11">
      <c r="A35" s="21">
        <v>30</v>
      </c>
      <c r="B35" s="104" t="s">
        <v>228</v>
      </c>
      <c r="C35" s="106" t="s">
        <v>38</v>
      </c>
      <c r="D35" s="113">
        <v>180</v>
      </c>
      <c r="E35" s="33">
        <v>0</v>
      </c>
      <c r="F35" s="20">
        <f t="shared" si="0"/>
        <v>0</v>
      </c>
      <c r="G35" s="33">
        <v>0</v>
      </c>
      <c r="H35" s="20">
        <f t="shared" si="1"/>
        <v>0</v>
      </c>
      <c r="I35" s="29">
        <v>0</v>
      </c>
      <c r="J35" s="20">
        <f t="shared" si="2"/>
        <v>0</v>
      </c>
      <c r="K35" s="20">
        <f t="shared" si="3"/>
        <v>0</v>
      </c>
    </row>
    <row r="36" spans="1:11">
      <c r="A36" s="21">
        <v>31</v>
      </c>
      <c r="B36" s="104" t="s">
        <v>245</v>
      </c>
      <c r="C36" s="106" t="s">
        <v>38</v>
      </c>
      <c r="D36" s="113">
        <v>40</v>
      </c>
      <c r="E36" s="33">
        <v>0</v>
      </c>
      <c r="F36" s="20">
        <f t="shared" si="0"/>
        <v>0</v>
      </c>
      <c r="G36" s="33">
        <v>0</v>
      </c>
      <c r="H36" s="20">
        <f t="shared" si="1"/>
        <v>0</v>
      </c>
      <c r="I36" s="29">
        <v>0</v>
      </c>
      <c r="J36" s="20">
        <f t="shared" si="2"/>
        <v>0</v>
      </c>
      <c r="K36" s="20">
        <f t="shared" si="3"/>
        <v>0</v>
      </c>
    </row>
    <row r="37" spans="1:11" ht="30">
      <c r="A37" s="21">
        <v>32</v>
      </c>
      <c r="B37" s="104" t="s">
        <v>246</v>
      </c>
      <c r="C37" s="106" t="s">
        <v>237</v>
      </c>
      <c r="D37" s="113">
        <v>15</v>
      </c>
      <c r="E37" s="33">
        <v>0</v>
      </c>
      <c r="F37" s="20">
        <f t="shared" si="0"/>
        <v>0</v>
      </c>
      <c r="G37" s="33">
        <v>0</v>
      </c>
      <c r="H37" s="20">
        <f t="shared" si="1"/>
        <v>0</v>
      </c>
      <c r="I37" s="29">
        <v>0</v>
      </c>
      <c r="J37" s="20">
        <f t="shared" si="2"/>
        <v>0</v>
      </c>
      <c r="K37" s="20">
        <f t="shared" si="3"/>
        <v>0</v>
      </c>
    </row>
    <row r="38" spans="1:11">
      <c r="A38" s="21">
        <v>33</v>
      </c>
      <c r="B38" s="104" t="s">
        <v>229</v>
      </c>
      <c r="C38" s="106" t="s">
        <v>38</v>
      </c>
      <c r="D38" s="113">
        <v>30</v>
      </c>
      <c r="E38" s="33">
        <v>0</v>
      </c>
      <c r="F38" s="20">
        <f t="shared" si="0"/>
        <v>0</v>
      </c>
      <c r="G38" s="33">
        <v>0</v>
      </c>
      <c r="H38" s="20">
        <f t="shared" si="1"/>
        <v>0</v>
      </c>
      <c r="I38" s="29">
        <v>0</v>
      </c>
      <c r="J38" s="20">
        <f t="shared" si="2"/>
        <v>0</v>
      </c>
      <c r="K38" s="20">
        <f t="shared" si="3"/>
        <v>0</v>
      </c>
    </row>
    <row r="39" spans="1:11">
      <c r="A39" s="21">
        <v>34</v>
      </c>
      <c r="B39" s="104" t="s">
        <v>234</v>
      </c>
      <c r="C39" s="106" t="s">
        <v>38</v>
      </c>
      <c r="D39" s="113">
        <v>500</v>
      </c>
      <c r="E39" s="33">
        <v>0</v>
      </c>
      <c r="F39" s="20">
        <f t="shared" si="0"/>
        <v>0</v>
      </c>
      <c r="G39" s="33">
        <v>0</v>
      </c>
      <c r="H39" s="20">
        <f t="shared" si="1"/>
        <v>0</v>
      </c>
      <c r="I39" s="29">
        <v>0</v>
      </c>
      <c r="J39" s="20">
        <f t="shared" si="2"/>
        <v>0</v>
      </c>
      <c r="K39" s="20">
        <f t="shared" si="3"/>
        <v>0</v>
      </c>
    </row>
    <row r="40" spans="1:11">
      <c r="A40" s="21">
        <v>35</v>
      </c>
      <c r="B40" s="105" t="s">
        <v>235</v>
      </c>
      <c r="C40" s="106" t="s">
        <v>38</v>
      </c>
      <c r="D40" s="113">
        <v>660</v>
      </c>
      <c r="E40" s="33">
        <v>0</v>
      </c>
      <c r="F40" s="20">
        <f t="shared" si="0"/>
        <v>0</v>
      </c>
      <c r="G40" s="33">
        <v>0</v>
      </c>
      <c r="H40" s="20">
        <f t="shared" si="1"/>
        <v>0</v>
      </c>
      <c r="I40" s="29">
        <v>0</v>
      </c>
      <c r="J40" s="20">
        <f t="shared" si="2"/>
        <v>0</v>
      </c>
      <c r="K40" s="20">
        <f t="shared" si="3"/>
        <v>0</v>
      </c>
    </row>
    <row r="41" spans="1:11">
      <c r="A41" s="21">
        <v>36</v>
      </c>
      <c r="B41" s="105" t="s">
        <v>236</v>
      </c>
      <c r="C41" s="106" t="s">
        <v>38</v>
      </c>
      <c r="D41" s="113">
        <v>1</v>
      </c>
      <c r="E41" s="33">
        <v>0</v>
      </c>
      <c r="F41" s="20">
        <f t="shared" si="0"/>
        <v>0</v>
      </c>
      <c r="G41" s="33">
        <v>0</v>
      </c>
      <c r="H41" s="20">
        <f t="shared" si="1"/>
        <v>0</v>
      </c>
      <c r="I41" s="29">
        <v>0</v>
      </c>
      <c r="J41" s="20">
        <f t="shared" si="2"/>
        <v>0</v>
      </c>
      <c r="K41" s="20">
        <f t="shared" si="3"/>
        <v>0</v>
      </c>
    </row>
    <row r="42" spans="1:11">
      <c r="A42" s="21">
        <v>37</v>
      </c>
      <c r="B42" s="105" t="s">
        <v>248</v>
      </c>
      <c r="C42" s="106" t="s">
        <v>247</v>
      </c>
      <c r="D42" s="113">
        <f>F43*0.01</f>
        <v>0</v>
      </c>
      <c r="E42" s="33">
        <v>0</v>
      </c>
      <c r="F42" s="20">
        <f t="shared" si="0"/>
        <v>0</v>
      </c>
      <c r="G42" s="33"/>
      <c r="H42" s="20">
        <f t="shared" ref="H42" si="7">G42*D42</f>
        <v>0</v>
      </c>
      <c r="I42" s="72"/>
      <c r="J42" s="20">
        <f t="shared" ref="J42" si="8">I42*D42</f>
        <v>0</v>
      </c>
      <c r="K42" s="20">
        <f t="shared" ref="K42" si="9">J42+H42+F42</f>
        <v>0</v>
      </c>
    </row>
    <row r="43" spans="1:11">
      <c r="A43" s="6"/>
      <c r="B43" s="95" t="s">
        <v>6</v>
      </c>
      <c r="C43" s="14"/>
      <c r="D43" s="20"/>
      <c r="E43" s="20"/>
      <c r="F43" s="20">
        <f>SUM(F6:F41)</f>
        <v>0</v>
      </c>
      <c r="G43" s="20"/>
      <c r="H43" s="20">
        <f>SUM(H6:H41)</f>
        <v>0</v>
      </c>
      <c r="I43" s="20"/>
      <c r="J43" s="20">
        <f>SUM(J6:J41)</f>
        <v>0</v>
      </c>
      <c r="K43" s="37">
        <f>SUM(K6:K41)</f>
        <v>0</v>
      </c>
    </row>
    <row r="44" spans="1:11" ht="15.75">
      <c r="A44" s="7"/>
      <c r="B44" s="107" t="s">
        <v>14</v>
      </c>
      <c r="C44" s="74">
        <v>0.05</v>
      </c>
      <c r="D44" s="73"/>
      <c r="E44" s="35"/>
      <c r="F44" s="35"/>
      <c r="G44" s="73"/>
      <c r="H44" s="73"/>
      <c r="I44" s="73"/>
      <c r="J44" s="35"/>
      <c r="K44" s="46">
        <f>F43*C44</f>
        <v>0</v>
      </c>
    </row>
    <row r="45" spans="1:11" ht="15.75">
      <c r="A45" s="7"/>
      <c r="B45" s="107" t="s">
        <v>6</v>
      </c>
      <c r="C45" s="92"/>
      <c r="D45" s="73"/>
      <c r="E45" s="35"/>
      <c r="F45" s="35"/>
      <c r="G45" s="73"/>
      <c r="H45" s="73"/>
      <c r="I45" s="73"/>
      <c r="J45" s="35"/>
      <c r="K45" s="46">
        <f>K44+K43</f>
        <v>0</v>
      </c>
    </row>
    <row r="46" spans="1:11" ht="15.75">
      <c r="A46" s="7"/>
      <c r="B46" s="107" t="s">
        <v>177</v>
      </c>
      <c r="C46" s="74">
        <v>0.75</v>
      </c>
      <c r="D46" s="73"/>
      <c r="E46" s="35"/>
      <c r="F46" s="35"/>
      <c r="G46" s="73"/>
      <c r="H46" s="73"/>
      <c r="I46" s="73"/>
      <c r="J46" s="35"/>
      <c r="K46" s="46">
        <f>C46*H43</f>
        <v>0</v>
      </c>
    </row>
    <row r="47" spans="1:11" ht="15.75">
      <c r="A47" s="7"/>
      <c r="B47" s="107" t="s">
        <v>6</v>
      </c>
      <c r="C47" s="92"/>
      <c r="D47" s="73"/>
      <c r="E47" s="35"/>
      <c r="F47" s="35"/>
      <c r="G47" s="73"/>
      <c r="H47" s="73"/>
      <c r="I47" s="73"/>
      <c r="J47" s="35"/>
      <c r="K47" s="46">
        <f>K46+K45</f>
        <v>0</v>
      </c>
    </row>
    <row r="48" spans="1:11">
      <c r="A48" s="7"/>
      <c r="B48" s="107" t="s">
        <v>193</v>
      </c>
      <c r="C48" s="74">
        <v>0.08</v>
      </c>
      <c r="D48" s="75"/>
      <c r="E48" s="30"/>
      <c r="F48" s="76"/>
      <c r="G48" s="75"/>
      <c r="H48" s="75"/>
      <c r="I48" s="75"/>
      <c r="J48" s="30"/>
      <c r="K48" s="41">
        <f>K47*C48</f>
        <v>0</v>
      </c>
    </row>
    <row r="49" spans="1:11" ht="15.75">
      <c r="A49" s="8"/>
      <c r="B49" s="107" t="s">
        <v>6</v>
      </c>
      <c r="C49" s="92"/>
      <c r="D49" s="73"/>
      <c r="E49" s="35"/>
      <c r="F49" s="35"/>
      <c r="G49" s="73"/>
      <c r="H49" s="73"/>
      <c r="I49" s="73"/>
      <c r="J49" s="35"/>
      <c r="K49" s="46">
        <f>K48+K47</f>
        <v>0</v>
      </c>
    </row>
    <row r="50" spans="1:11" ht="15.75">
      <c r="A50" s="8"/>
      <c r="B50" s="108" t="s">
        <v>20</v>
      </c>
      <c r="C50" s="93">
        <v>0.03</v>
      </c>
      <c r="D50" s="77"/>
      <c r="E50" s="78"/>
      <c r="F50" s="78"/>
      <c r="G50" s="77"/>
      <c r="H50" s="77"/>
      <c r="I50" s="77"/>
      <c r="J50" s="78"/>
      <c r="K50" s="79">
        <f>K49*C50</f>
        <v>0</v>
      </c>
    </row>
    <row r="51" spans="1:11" ht="15.75">
      <c r="A51" s="8"/>
      <c r="B51" s="109" t="s">
        <v>178</v>
      </c>
      <c r="C51" s="74">
        <v>0.02</v>
      </c>
      <c r="D51" s="80"/>
      <c r="E51" s="80"/>
      <c r="F51" s="81"/>
      <c r="G51" s="82"/>
      <c r="H51" s="82"/>
      <c r="I51" s="82"/>
      <c r="J51" s="81"/>
      <c r="K51" s="83">
        <f>H43*C51</f>
        <v>0</v>
      </c>
    </row>
    <row r="52" spans="1:11" ht="15.75">
      <c r="A52" s="8"/>
      <c r="B52" s="110" t="s">
        <v>6</v>
      </c>
      <c r="C52" s="84"/>
      <c r="D52" s="80"/>
      <c r="E52" s="80"/>
      <c r="F52" s="81"/>
      <c r="G52" s="82"/>
      <c r="H52" s="82"/>
      <c r="I52" s="82"/>
      <c r="J52" s="81"/>
      <c r="K52" s="83">
        <f>K51+K50+K49</f>
        <v>0</v>
      </c>
    </row>
    <row r="53" spans="1:11" ht="15.75">
      <c r="A53" s="7"/>
      <c r="B53" s="111" t="s">
        <v>179</v>
      </c>
      <c r="C53" s="85">
        <v>0.18</v>
      </c>
      <c r="D53" s="86"/>
      <c r="E53" s="86"/>
      <c r="F53" s="86"/>
      <c r="G53" s="86"/>
      <c r="H53" s="86"/>
      <c r="I53" s="86"/>
      <c r="J53" s="86"/>
      <c r="K53" s="87">
        <f>K52*C53</f>
        <v>0</v>
      </c>
    </row>
    <row r="54" spans="1:11" ht="15.75">
      <c r="A54" s="6"/>
      <c r="B54" s="112" t="s">
        <v>6</v>
      </c>
      <c r="C54" s="94"/>
      <c r="D54" s="88"/>
      <c r="E54" s="88"/>
      <c r="F54" s="88"/>
      <c r="G54" s="88"/>
      <c r="H54" s="88"/>
      <c r="I54" s="88"/>
      <c r="J54" s="88"/>
      <c r="K54" s="89">
        <f>K53+K52</f>
        <v>0</v>
      </c>
    </row>
    <row r="56" spans="1:11">
      <c r="A56" s="114"/>
      <c r="B56" s="120"/>
      <c r="C56" s="115"/>
      <c r="D56" s="116"/>
      <c r="E56" s="117"/>
      <c r="F56" s="118"/>
      <c r="G56" s="117"/>
      <c r="H56" s="118"/>
      <c r="I56" s="119"/>
      <c r="J56" s="118"/>
      <c r="K56" s="118"/>
    </row>
    <row r="57" spans="1:11">
      <c r="A57" s="114"/>
      <c r="B57" s="156"/>
      <c r="C57" s="156"/>
      <c r="D57" s="156"/>
      <c r="E57" s="156"/>
      <c r="F57" s="156"/>
      <c r="G57" s="156"/>
      <c r="H57" s="156"/>
      <c r="I57" s="156"/>
      <c r="J57" s="156"/>
      <c r="K57" s="156"/>
    </row>
  </sheetData>
  <mergeCells count="12">
    <mergeCell ref="B57:K57"/>
    <mergeCell ref="K3:K4"/>
    <mergeCell ref="A1:K1"/>
    <mergeCell ref="C2:I2"/>
    <mergeCell ref="J2:K2"/>
    <mergeCell ref="A3:A4"/>
    <mergeCell ref="B3:B4"/>
    <mergeCell ref="C3:C4"/>
    <mergeCell ref="D3:D4"/>
    <mergeCell ref="E3:F3"/>
    <mergeCell ref="G3:H3"/>
    <mergeCell ref="I3:J3"/>
  </mergeCells>
  <conditionalFormatting sqref="D6 D24:D25 D28 D31 D10:D20 D33:D41">
    <cfRule type="cellIs" dxfId="13" priority="15" operator="equal">
      <formula>0</formula>
    </cfRule>
  </conditionalFormatting>
  <conditionalFormatting sqref="D26">
    <cfRule type="cellIs" dxfId="12" priority="14" operator="equal">
      <formula>0</formula>
    </cfRule>
  </conditionalFormatting>
  <conditionalFormatting sqref="D27">
    <cfRule type="cellIs" dxfId="11" priority="13" operator="equal">
      <formula>0</formula>
    </cfRule>
  </conditionalFormatting>
  <conditionalFormatting sqref="D8">
    <cfRule type="cellIs" dxfId="10" priority="12" operator="equal">
      <formula>0</formula>
    </cfRule>
  </conditionalFormatting>
  <conditionalFormatting sqref="D30">
    <cfRule type="cellIs" dxfId="9" priority="11" operator="equal">
      <formula>0</formula>
    </cfRule>
  </conditionalFormatting>
  <conditionalFormatting sqref="D29">
    <cfRule type="cellIs" dxfId="8" priority="10" operator="equal">
      <formula>0</formula>
    </cfRule>
  </conditionalFormatting>
  <conditionalFormatting sqref="D21">
    <cfRule type="cellIs" dxfId="7" priority="9" operator="equal">
      <formula>0</formula>
    </cfRule>
  </conditionalFormatting>
  <conditionalFormatting sqref="D22">
    <cfRule type="cellIs" dxfId="6" priority="8" operator="equal">
      <formula>0</formula>
    </cfRule>
  </conditionalFormatting>
  <conditionalFormatting sqref="D32">
    <cfRule type="cellIs" dxfId="5" priority="7" operator="equal">
      <formula>0</formula>
    </cfRule>
  </conditionalFormatting>
  <conditionalFormatting sqref="D9">
    <cfRule type="cellIs" dxfId="4" priority="6" operator="equal">
      <formula>0</formula>
    </cfRule>
  </conditionalFormatting>
  <conditionalFormatting sqref="D7">
    <cfRule type="cellIs" dxfId="3" priority="5" operator="equal">
      <formula>0</formula>
    </cfRule>
  </conditionalFormatting>
  <conditionalFormatting sqref="D42">
    <cfRule type="cellIs" dxfId="2" priority="4" operator="equal">
      <formula>0</formula>
    </cfRule>
  </conditionalFormatting>
  <conditionalFormatting sqref="D56">
    <cfRule type="cellIs" dxfId="1" priority="2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BBE6EB"/>
  </sheetPr>
  <dimension ref="A1:K50"/>
  <sheetViews>
    <sheetView workbookViewId="0">
      <selection activeCell="C3" sqref="C3:C4"/>
    </sheetView>
  </sheetViews>
  <sheetFormatPr defaultRowHeight="15"/>
  <cols>
    <col min="1" max="1" width="4" customWidth="1"/>
    <col min="2" max="2" width="68.140625" customWidth="1"/>
    <col min="6" max="6" width="10.42578125" customWidth="1"/>
    <col min="11" max="11" width="11" customWidth="1"/>
  </cols>
  <sheetData>
    <row r="1" spans="1:11">
      <c r="A1" s="143" t="s">
        <v>194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8">
      <c r="A2" s="12"/>
      <c r="B2" s="43"/>
      <c r="C2" s="146" t="s">
        <v>303</v>
      </c>
      <c r="D2" s="146"/>
      <c r="E2" s="146"/>
      <c r="F2" s="146"/>
      <c r="G2" s="146"/>
      <c r="H2" s="146"/>
      <c r="I2" s="146"/>
      <c r="J2" s="144">
        <f>K47</f>
        <v>0</v>
      </c>
      <c r="K2" s="145"/>
    </row>
    <row r="3" spans="1:11" ht="23.25" customHeight="1">
      <c r="A3" s="147" t="s">
        <v>0</v>
      </c>
      <c r="B3" s="147" t="s">
        <v>1</v>
      </c>
      <c r="C3" s="147" t="s">
        <v>2</v>
      </c>
      <c r="D3" s="153" t="s">
        <v>3</v>
      </c>
      <c r="E3" s="149" t="s">
        <v>4</v>
      </c>
      <c r="F3" s="150"/>
      <c r="G3" s="149" t="s">
        <v>5</v>
      </c>
      <c r="H3" s="150"/>
      <c r="I3" s="151" t="s">
        <v>28</v>
      </c>
      <c r="J3" s="152"/>
      <c r="K3" s="147" t="s">
        <v>6</v>
      </c>
    </row>
    <row r="4" spans="1:11">
      <c r="A4" s="148"/>
      <c r="B4" s="148"/>
      <c r="C4" s="148"/>
      <c r="D4" s="154"/>
      <c r="E4" s="49" t="s">
        <v>7</v>
      </c>
      <c r="F4" s="50" t="s">
        <v>6</v>
      </c>
      <c r="G4" s="49" t="s">
        <v>7</v>
      </c>
      <c r="H4" s="50" t="s">
        <v>6</v>
      </c>
      <c r="I4" s="49" t="s">
        <v>7</v>
      </c>
      <c r="J4" s="50" t="s">
        <v>6</v>
      </c>
      <c r="K4" s="148"/>
    </row>
    <row r="5" spans="1:11">
      <c r="A5" s="16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</row>
    <row r="6" spans="1:11" ht="15.75">
      <c r="A6" s="21"/>
      <c r="B6" s="133" t="s">
        <v>203</v>
      </c>
      <c r="C6" s="100"/>
      <c r="D6" s="101"/>
      <c r="E6" s="100"/>
      <c r="F6" s="20"/>
      <c r="G6" s="101"/>
      <c r="H6" s="20"/>
      <c r="I6" s="101"/>
      <c r="J6" s="20"/>
      <c r="K6" s="20"/>
    </row>
    <row r="7" spans="1:11" ht="30">
      <c r="A7" s="21">
        <v>1</v>
      </c>
      <c r="B7" s="128" t="s">
        <v>249</v>
      </c>
      <c r="C7" s="131" t="s">
        <v>250</v>
      </c>
      <c r="D7" s="132">
        <v>24</v>
      </c>
      <c r="E7" s="92">
        <v>0</v>
      </c>
      <c r="F7" s="36">
        <f t="shared" ref="F7:F35" si="0">E7*D7</f>
        <v>0</v>
      </c>
      <c r="G7" s="134">
        <v>0</v>
      </c>
      <c r="H7" s="36">
        <f t="shared" ref="H7:H35" si="1">G7*D7</f>
        <v>0</v>
      </c>
      <c r="I7" s="41">
        <v>0</v>
      </c>
      <c r="J7" s="36">
        <f t="shared" ref="J7:J35" si="2">I7*D7</f>
        <v>0</v>
      </c>
      <c r="K7" s="36">
        <f t="shared" ref="K7:K35" si="3">J7+H7+F7</f>
        <v>0</v>
      </c>
    </row>
    <row r="8" spans="1:11" ht="45">
      <c r="A8" s="21">
        <v>2</v>
      </c>
      <c r="B8" s="128" t="s">
        <v>251</v>
      </c>
      <c r="C8" s="131" t="s">
        <v>250</v>
      </c>
      <c r="D8" s="132">
        <v>20</v>
      </c>
      <c r="E8" s="92">
        <v>0</v>
      </c>
      <c r="F8" s="36">
        <f t="shared" si="0"/>
        <v>0</v>
      </c>
      <c r="G8" s="134">
        <v>0</v>
      </c>
      <c r="H8" s="36">
        <f t="shared" si="1"/>
        <v>0</v>
      </c>
      <c r="I8" s="41">
        <v>0</v>
      </c>
      <c r="J8" s="36">
        <f t="shared" si="2"/>
        <v>0</v>
      </c>
      <c r="K8" s="36">
        <f t="shared" si="3"/>
        <v>0</v>
      </c>
    </row>
    <row r="9" spans="1:11" ht="45">
      <c r="A9" s="21">
        <v>3</v>
      </c>
      <c r="B9" s="128" t="s">
        <v>252</v>
      </c>
      <c r="C9" s="131" t="s">
        <v>250</v>
      </c>
      <c r="D9" s="135">
        <v>71</v>
      </c>
      <c r="E9" s="92">
        <v>0</v>
      </c>
      <c r="F9" s="36">
        <f t="shared" si="0"/>
        <v>0</v>
      </c>
      <c r="G9" s="134">
        <v>0</v>
      </c>
      <c r="H9" s="36">
        <f t="shared" si="1"/>
        <v>0</v>
      </c>
      <c r="I9" s="41">
        <v>0</v>
      </c>
      <c r="J9" s="36">
        <f t="shared" si="2"/>
        <v>0</v>
      </c>
      <c r="K9" s="36">
        <f t="shared" si="3"/>
        <v>0</v>
      </c>
    </row>
    <row r="10" spans="1:11" ht="17.25" customHeight="1">
      <c r="A10" s="21">
        <v>4</v>
      </c>
      <c r="B10" s="128" t="s">
        <v>256</v>
      </c>
      <c r="C10" s="131" t="s">
        <v>253</v>
      </c>
      <c r="D10" s="135">
        <v>800</v>
      </c>
      <c r="E10" s="92">
        <v>0</v>
      </c>
      <c r="F10" s="36">
        <f t="shared" si="0"/>
        <v>0</v>
      </c>
      <c r="G10" s="134">
        <v>0</v>
      </c>
      <c r="H10" s="36">
        <f t="shared" si="1"/>
        <v>0</v>
      </c>
      <c r="I10" s="41">
        <v>0</v>
      </c>
      <c r="J10" s="36">
        <f t="shared" si="2"/>
        <v>0</v>
      </c>
      <c r="K10" s="36">
        <f t="shared" si="3"/>
        <v>0</v>
      </c>
    </row>
    <row r="11" spans="1:11" ht="17.25" customHeight="1">
      <c r="A11" s="21">
        <v>5</v>
      </c>
      <c r="B11" s="128" t="s">
        <v>257</v>
      </c>
      <c r="C11" s="131" t="s">
        <v>253</v>
      </c>
      <c r="D11" s="135">
        <v>800</v>
      </c>
      <c r="E11" s="92">
        <v>0</v>
      </c>
      <c r="F11" s="36">
        <f t="shared" si="0"/>
        <v>0</v>
      </c>
      <c r="G11" s="134">
        <v>0</v>
      </c>
      <c r="H11" s="36">
        <f t="shared" si="1"/>
        <v>0</v>
      </c>
      <c r="I11" s="41">
        <v>0</v>
      </c>
      <c r="J11" s="36">
        <f t="shared" si="2"/>
        <v>0</v>
      </c>
      <c r="K11" s="36">
        <f t="shared" si="3"/>
        <v>0</v>
      </c>
    </row>
    <row r="12" spans="1:11" ht="30">
      <c r="A12" s="21">
        <v>6</v>
      </c>
      <c r="B12" s="128" t="s">
        <v>204</v>
      </c>
      <c r="C12" s="131" t="s">
        <v>250</v>
      </c>
      <c r="D12" s="135">
        <v>1</v>
      </c>
      <c r="E12" s="92">
        <v>0</v>
      </c>
      <c r="F12" s="36">
        <f t="shared" si="0"/>
        <v>0</v>
      </c>
      <c r="G12" s="33"/>
      <c r="H12" s="36">
        <f t="shared" si="1"/>
        <v>0</v>
      </c>
      <c r="I12" s="29"/>
      <c r="J12" s="36">
        <f t="shared" si="2"/>
        <v>0</v>
      </c>
      <c r="K12" s="36">
        <f t="shared" si="3"/>
        <v>0</v>
      </c>
    </row>
    <row r="13" spans="1:11">
      <c r="A13" s="21">
        <v>7</v>
      </c>
      <c r="B13" s="128" t="s">
        <v>205</v>
      </c>
      <c r="C13" s="131" t="s">
        <v>253</v>
      </c>
      <c r="D13" s="135">
        <v>800</v>
      </c>
      <c r="E13" s="92">
        <v>0</v>
      </c>
      <c r="F13" s="36">
        <f t="shared" si="0"/>
        <v>0</v>
      </c>
      <c r="G13" s="33">
        <v>0</v>
      </c>
      <c r="H13" s="36">
        <f t="shared" si="1"/>
        <v>0</v>
      </c>
      <c r="I13" s="29">
        <v>0</v>
      </c>
      <c r="J13" s="36">
        <f t="shared" si="2"/>
        <v>0</v>
      </c>
      <c r="K13" s="36">
        <f t="shared" si="3"/>
        <v>0</v>
      </c>
    </row>
    <row r="14" spans="1:11" ht="30">
      <c r="A14" s="21">
        <v>8</v>
      </c>
      <c r="B14" s="128" t="s">
        <v>206</v>
      </c>
      <c r="C14" s="131" t="s">
        <v>250</v>
      </c>
      <c r="D14" s="132">
        <v>1</v>
      </c>
      <c r="E14" s="92">
        <v>0</v>
      </c>
      <c r="F14" s="36">
        <f t="shared" si="0"/>
        <v>0</v>
      </c>
      <c r="G14" s="33"/>
      <c r="H14" s="36">
        <f t="shared" si="1"/>
        <v>0</v>
      </c>
      <c r="I14" s="29">
        <v>0</v>
      </c>
      <c r="J14" s="36">
        <f t="shared" si="2"/>
        <v>0</v>
      </c>
      <c r="K14" s="36">
        <f t="shared" si="3"/>
        <v>0</v>
      </c>
    </row>
    <row r="15" spans="1:11">
      <c r="A15" s="21">
        <v>9</v>
      </c>
      <c r="B15" s="130" t="s">
        <v>254</v>
      </c>
      <c r="C15" s="131" t="s">
        <v>10</v>
      </c>
      <c r="D15" s="132">
        <v>800</v>
      </c>
      <c r="E15" s="92">
        <v>0</v>
      </c>
      <c r="F15" s="36">
        <f t="shared" si="0"/>
        <v>0</v>
      </c>
      <c r="G15" s="33">
        <v>0</v>
      </c>
      <c r="H15" s="36">
        <f t="shared" si="1"/>
        <v>0</v>
      </c>
      <c r="I15" s="29">
        <v>0</v>
      </c>
      <c r="J15" s="36">
        <f t="shared" si="2"/>
        <v>0</v>
      </c>
      <c r="K15" s="36">
        <f t="shared" si="3"/>
        <v>0</v>
      </c>
    </row>
    <row r="16" spans="1:11" ht="34.5" customHeight="1">
      <c r="A16" s="21">
        <v>10</v>
      </c>
      <c r="B16" s="128" t="s">
        <v>255</v>
      </c>
      <c r="C16" s="131" t="s">
        <v>250</v>
      </c>
      <c r="D16" s="132">
        <v>1</v>
      </c>
      <c r="E16" s="92">
        <v>0</v>
      </c>
      <c r="F16" s="36">
        <f t="shared" si="0"/>
        <v>0</v>
      </c>
      <c r="G16" s="33">
        <v>0</v>
      </c>
      <c r="H16" s="36">
        <f t="shared" si="1"/>
        <v>0</v>
      </c>
      <c r="I16" s="29">
        <v>0</v>
      </c>
      <c r="J16" s="36">
        <f t="shared" si="2"/>
        <v>0</v>
      </c>
      <c r="K16" s="36">
        <f t="shared" si="3"/>
        <v>0</v>
      </c>
    </row>
    <row r="17" spans="1:11" ht="21" customHeight="1">
      <c r="A17" s="21"/>
      <c r="B17" s="69" t="s">
        <v>207</v>
      </c>
      <c r="C17" s="100"/>
      <c r="D17" s="101"/>
      <c r="E17" s="100"/>
      <c r="F17" s="36">
        <f t="shared" si="0"/>
        <v>0</v>
      </c>
      <c r="G17" s="136"/>
      <c r="H17" s="36">
        <f t="shared" si="1"/>
        <v>0</v>
      </c>
      <c r="I17" s="101"/>
      <c r="J17" s="36">
        <f t="shared" si="2"/>
        <v>0</v>
      </c>
      <c r="K17" s="36">
        <f t="shared" si="3"/>
        <v>0</v>
      </c>
    </row>
    <row r="18" spans="1:11" ht="18" customHeight="1">
      <c r="A18" s="21">
        <v>1</v>
      </c>
      <c r="B18" s="129" t="s">
        <v>258</v>
      </c>
      <c r="C18" s="131" t="s">
        <v>250</v>
      </c>
      <c r="D18" s="132">
        <v>2</v>
      </c>
      <c r="E18" s="28">
        <v>0</v>
      </c>
      <c r="F18" s="36">
        <f t="shared" si="0"/>
        <v>0</v>
      </c>
      <c r="G18" s="33">
        <v>0</v>
      </c>
      <c r="H18" s="36">
        <f t="shared" si="1"/>
        <v>0</v>
      </c>
      <c r="I18" s="29">
        <v>0</v>
      </c>
      <c r="J18" s="36">
        <f t="shared" si="2"/>
        <v>0</v>
      </c>
      <c r="K18" s="36">
        <f t="shared" si="3"/>
        <v>0</v>
      </c>
    </row>
    <row r="19" spans="1:11" ht="18" customHeight="1">
      <c r="A19" s="21">
        <v>2</v>
      </c>
      <c r="B19" s="129" t="s">
        <v>259</v>
      </c>
      <c r="C19" s="131" t="s">
        <v>250</v>
      </c>
      <c r="D19" s="132">
        <v>2</v>
      </c>
      <c r="E19" s="28">
        <v>0</v>
      </c>
      <c r="F19" s="36">
        <f t="shared" si="0"/>
        <v>0</v>
      </c>
      <c r="G19" s="33">
        <v>0</v>
      </c>
      <c r="H19" s="36">
        <f t="shared" si="1"/>
        <v>0</v>
      </c>
      <c r="I19" s="29">
        <v>0</v>
      </c>
      <c r="J19" s="36">
        <f t="shared" si="2"/>
        <v>0</v>
      </c>
      <c r="K19" s="36">
        <f t="shared" si="3"/>
        <v>0</v>
      </c>
    </row>
    <row r="20" spans="1:11" ht="18" customHeight="1">
      <c r="A20" s="21">
        <v>3</v>
      </c>
      <c r="B20" s="129" t="s">
        <v>260</v>
      </c>
      <c r="C20" s="131" t="s">
        <v>250</v>
      </c>
      <c r="D20" s="132">
        <v>1</v>
      </c>
      <c r="E20" s="28">
        <v>0</v>
      </c>
      <c r="F20" s="36">
        <f t="shared" si="0"/>
        <v>0</v>
      </c>
      <c r="G20" s="33">
        <v>0</v>
      </c>
      <c r="H20" s="36">
        <f t="shared" si="1"/>
        <v>0</v>
      </c>
      <c r="I20" s="29">
        <v>0</v>
      </c>
      <c r="J20" s="36">
        <f t="shared" si="2"/>
        <v>0</v>
      </c>
      <c r="K20" s="36">
        <f t="shared" si="3"/>
        <v>0</v>
      </c>
    </row>
    <row r="21" spans="1:11" ht="18" customHeight="1">
      <c r="A21" s="21">
        <v>4</v>
      </c>
      <c r="B21" s="129" t="s">
        <v>261</v>
      </c>
      <c r="C21" s="131" t="s">
        <v>250</v>
      </c>
      <c r="D21" s="132">
        <v>5</v>
      </c>
      <c r="E21" s="28">
        <v>0</v>
      </c>
      <c r="F21" s="36">
        <f t="shared" si="0"/>
        <v>0</v>
      </c>
      <c r="G21" s="33">
        <v>0</v>
      </c>
      <c r="H21" s="36">
        <f t="shared" si="1"/>
        <v>0</v>
      </c>
      <c r="I21" s="29">
        <v>0</v>
      </c>
      <c r="J21" s="36">
        <f t="shared" si="2"/>
        <v>0</v>
      </c>
      <c r="K21" s="36">
        <f t="shared" si="3"/>
        <v>0</v>
      </c>
    </row>
    <row r="22" spans="1:11" ht="18" customHeight="1">
      <c r="A22" s="21">
        <v>5</v>
      </c>
      <c r="B22" s="129" t="s">
        <v>262</v>
      </c>
      <c r="C22" s="131" t="s">
        <v>250</v>
      </c>
      <c r="D22" s="132">
        <v>1</v>
      </c>
      <c r="E22" s="28">
        <v>0</v>
      </c>
      <c r="F22" s="36">
        <f t="shared" si="0"/>
        <v>0</v>
      </c>
      <c r="G22" s="33">
        <v>0</v>
      </c>
      <c r="H22" s="36">
        <f t="shared" si="1"/>
        <v>0</v>
      </c>
      <c r="I22" s="29">
        <v>0</v>
      </c>
      <c r="J22" s="36">
        <f t="shared" si="2"/>
        <v>0</v>
      </c>
      <c r="K22" s="36">
        <f t="shared" si="3"/>
        <v>0</v>
      </c>
    </row>
    <row r="23" spans="1:11" ht="18" customHeight="1">
      <c r="A23" s="21">
        <v>6</v>
      </c>
      <c r="B23" s="129" t="s">
        <v>263</v>
      </c>
      <c r="C23" s="131" t="s">
        <v>250</v>
      </c>
      <c r="D23" s="132">
        <v>1</v>
      </c>
      <c r="E23" s="28">
        <v>0</v>
      </c>
      <c r="F23" s="36">
        <f t="shared" si="0"/>
        <v>0</v>
      </c>
      <c r="G23" s="33">
        <v>0</v>
      </c>
      <c r="H23" s="36">
        <f t="shared" si="1"/>
        <v>0</v>
      </c>
      <c r="I23" s="29">
        <v>0</v>
      </c>
      <c r="J23" s="36">
        <f t="shared" si="2"/>
        <v>0</v>
      </c>
      <c r="K23" s="36">
        <f t="shared" si="3"/>
        <v>0</v>
      </c>
    </row>
    <row r="24" spans="1:11" ht="21" customHeight="1">
      <c r="A24" s="21">
        <v>7</v>
      </c>
      <c r="B24" s="128" t="s">
        <v>264</v>
      </c>
      <c r="C24" s="131" t="s">
        <v>274</v>
      </c>
      <c r="D24" s="132">
        <v>150</v>
      </c>
      <c r="E24" s="28">
        <v>0</v>
      </c>
      <c r="F24" s="36">
        <f t="shared" si="0"/>
        <v>0</v>
      </c>
      <c r="G24" s="33">
        <v>0</v>
      </c>
      <c r="H24" s="36">
        <f t="shared" si="1"/>
        <v>0</v>
      </c>
      <c r="I24" s="29">
        <v>0</v>
      </c>
      <c r="J24" s="36">
        <f t="shared" si="2"/>
        <v>0</v>
      </c>
      <c r="K24" s="36">
        <f t="shared" si="3"/>
        <v>0</v>
      </c>
    </row>
    <row r="25" spans="1:11" ht="21" customHeight="1">
      <c r="A25" s="21">
        <v>8</v>
      </c>
      <c r="B25" s="128" t="s">
        <v>265</v>
      </c>
      <c r="C25" s="131" t="s">
        <v>274</v>
      </c>
      <c r="D25" s="132">
        <v>550</v>
      </c>
      <c r="E25" s="28">
        <v>0</v>
      </c>
      <c r="F25" s="36">
        <f t="shared" si="0"/>
        <v>0</v>
      </c>
      <c r="G25" s="33">
        <v>0</v>
      </c>
      <c r="H25" s="36">
        <f t="shared" si="1"/>
        <v>0</v>
      </c>
      <c r="I25" s="29">
        <v>0</v>
      </c>
      <c r="J25" s="36">
        <f t="shared" si="2"/>
        <v>0</v>
      </c>
      <c r="K25" s="36">
        <f t="shared" si="3"/>
        <v>0</v>
      </c>
    </row>
    <row r="26" spans="1:11" ht="18" customHeight="1">
      <c r="A26" s="21">
        <v>9</v>
      </c>
      <c r="B26" s="129" t="s">
        <v>266</v>
      </c>
      <c r="C26" s="131" t="s">
        <v>274</v>
      </c>
      <c r="D26" s="132">
        <v>500</v>
      </c>
      <c r="E26" s="28">
        <v>0</v>
      </c>
      <c r="F26" s="36">
        <f t="shared" si="0"/>
        <v>0</v>
      </c>
      <c r="G26" s="33">
        <v>0</v>
      </c>
      <c r="H26" s="36">
        <f t="shared" si="1"/>
        <v>0</v>
      </c>
      <c r="I26" s="29">
        <v>0</v>
      </c>
      <c r="J26" s="36">
        <f t="shared" si="2"/>
        <v>0</v>
      </c>
      <c r="K26" s="36">
        <f t="shared" si="3"/>
        <v>0</v>
      </c>
    </row>
    <row r="27" spans="1:11" ht="31.5" customHeight="1">
      <c r="A27" s="21">
        <v>10</v>
      </c>
      <c r="B27" s="137" t="s">
        <v>267</v>
      </c>
      <c r="C27" s="131" t="s">
        <v>250</v>
      </c>
      <c r="D27" s="132">
        <v>1</v>
      </c>
      <c r="E27" s="28">
        <v>0</v>
      </c>
      <c r="F27" s="36">
        <f t="shared" si="0"/>
        <v>0</v>
      </c>
      <c r="G27" s="33"/>
      <c r="H27" s="36">
        <f t="shared" si="1"/>
        <v>0</v>
      </c>
      <c r="I27" s="29"/>
      <c r="J27" s="36">
        <f t="shared" si="2"/>
        <v>0</v>
      </c>
      <c r="K27" s="36">
        <f t="shared" si="3"/>
        <v>0</v>
      </c>
    </row>
    <row r="28" spans="1:11" ht="18" customHeight="1">
      <c r="A28" s="21">
        <v>11</v>
      </c>
      <c r="B28" s="130" t="s">
        <v>268</v>
      </c>
      <c r="C28" s="131" t="s">
        <v>250</v>
      </c>
      <c r="D28" s="132">
        <v>20</v>
      </c>
      <c r="E28" s="28">
        <v>0</v>
      </c>
      <c r="F28" s="36">
        <f t="shared" si="0"/>
        <v>0</v>
      </c>
      <c r="G28" s="33">
        <v>0</v>
      </c>
      <c r="H28" s="36">
        <f t="shared" si="1"/>
        <v>0</v>
      </c>
      <c r="I28" s="29">
        <v>0</v>
      </c>
      <c r="J28" s="36">
        <f t="shared" si="2"/>
        <v>0</v>
      </c>
      <c r="K28" s="36">
        <f t="shared" si="3"/>
        <v>0</v>
      </c>
    </row>
    <row r="29" spans="1:11" ht="18" customHeight="1">
      <c r="A29" s="21">
        <v>12</v>
      </c>
      <c r="B29" s="129" t="s">
        <v>208</v>
      </c>
      <c r="C29" s="131" t="s">
        <v>250</v>
      </c>
      <c r="D29" s="132">
        <v>80</v>
      </c>
      <c r="E29" s="28">
        <v>0</v>
      </c>
      <c r="F29" s="36">
        <f t="shared" si="0"/>
        <v>0</v>
      </c>
      <c r="G29" s="33">
        <v>0</v>
      </c>
      <c r="H29" s="36">
        <f t="shared" si="1"/>
        <v>0</v>
      </c>
      <c r="I29" s="29">
        <v>0</v>
      </c>
      <c r="J29" s="36">
        <f t="shared" si="2"/>
        <v>0</v>
      </c>
      <c r="K29" s="36">
        <f t="shared" si="3"/>
        <v>0</v>
      </c>
    </row>
    <row r="30" spans="1:11" ht="18" customHeight="1">
      <c r="A30" s="21">
        <v>13</v>
      </c>
      <c r="B30" s="129" t="s">
        <v>269</v>
      </c>
      <c r="C30" s="131" t="s">
        <v>250</v>
      </c>
      <c r="D30" s="132">
        <v>4</v>
      </c>
      <c r="E30" s="28">
        <v>0</v>
      </c>
      <c r="F30" s="36">
        <f t="shared" si="0"/>
        <v>0</v>
      </c>
      <c r="G30" s="33">
        <v>0</v>
      </c>
      <c r="H30" s="36">
        <f t="shared" si="1"/>
        <v>0</v>
      </c>
      <c r="I30" s="29">
        <v>0</v>
      </c>
      <c r="J30" s="36">
        <f t="shared" si="2"/>
        <v>0</v>
      </c>
      <c r="K30" s="36">
        <f t="shared" si="3"/>
        <v>0</v>
      </c>
    </row>
    <row r="31" spans="1:11" ht="18" customHeight="1">
      <c r="A31" s="21">
        <v>14</v>
      </c>
      <c r="B31" s="129" t="s">
        <v>270</v>
      </c>
      <c r="C31" s="131" t="s">
        <v>250</v>
      </c>
      <c r="D31" s="132">
        <v>5</v>
      </c>
      <c r="E31" s="28">
        <v>0</v>
      </c>
      <c r="F31" s="36">
        <f t="shared" si="0"/>
        <v>0</v>
      </c>
      <c r="G31" s="33">
        <v>0</v>
      </c>
      <c r="H31" s="36">
        <f t="shared" si="1"/>
        <v>0</v>
      </c>
      <c r="I31" s="29">
        <v>0</v>
      </c>
      <c r="J31" s="36">
        <f t="shared" si="2"/>
        <v>0</v>
      </c>
      <c r="K31" s="36">
        <f t="shared" si="3"/>
        <v>0</v>
      </c>
    </row>
    <row r="32" spans="1:11" ht="18" customHeight="1">
      <c r="A32" s="21">
        <v>15</v>
      </c>
      <c r="B32" s="130" t="s">
        <v>271</v>
      </c>
      <c r="C32" s="131" t="s">
        <v>253</v>
      </c>
      <c r="D32" s="132">
        <v>60</v>
      </c>
      <c r="E32" s="28">
        <v>0</v>
      </c>
      <c r="F32" s="36">
        <f t="shared" si="0"/>
        <v>0</v>
      </c>
      <c r="G32" s="33">
        <v>0</v>
      </c>
      <c r="H32" s="36">
        <f t="shared" si="1"/>
        <v>0</v>
      </c>
      <c r="I32" s="29">
        <v>0</v>
      </c>
      <c r="J32" s="36">
        <f t="shared" si="2"/>
        <v>0</v>
      </c>
      <c r="K32" s="36">
        <f t="shared" si="3"/>
        <v>0</v>
      </c>
    </row>
    <row r="33" spans="1:11" ht="18" customHeight="1">
      <c r="A33" s="21">
        <v>16</v>
      </c>
      <c r="B33" s="130" t="s">
        <v>272</v>
      </c>
      <c r="C33" s="131" t="s">
        <v>253</v>
      </c>
      <c r="D33" s="132">
        <v>60</v>
      </c>
      <c r="E33" s="28">
        <v>0</v>
      </c>
      <c r="F33" s="36">
        <f t="shared" si="0"/>
        <v>0</v>
      </c>
      <c r="G33" s="33">
        <v>0</v>
      </c>
      <c r="H33" s="36">
        <f t="shared" si="1"/>
        <v>0</v>
      </c>
      <c r="I33" s="29">
        <v>0</v>
      </c>
      <c r="J33" s="36">
        <f t="shared" si="2"/>
        <v>0</v>
      </c>
      <c r="K33" s="36">
        <f t="shared" si="3"/>
        <v>0</v>
      </c>
    </row>
    <row r="34" spans="1:11" ht="18" customHeight="1">
      <c r="A34" s="21">
        <v>17</v>
      </c>
      <c r="B34" s="130" t="s">
        <v>273</v>
      </c>
      <c r="C34" s="131" t="s">
        <v>253</v>
      </c>
      <c r="D34" s="132">
        <v>30</v>
      </c>
      <c r="E34" s="28">
        <v>0</v>
      </c>
      <c r="F34" s="36">
        <f t="shared" si="0"/>
        <v>0</v>
      </c>
      <c r="G34" s="33">
        <v>0</v>
      </c>
      <c r="H34" s="36">
        <f t="shared" si="1"/>
        <v>0</v>
      </c>
      <c r="I34" s="29">
        <v>0</v>
      </c>
      <c r="J34" s="36">
        <f t="shared" si="2"/>
        <v>0</v>
      </c>
      <c r="K34" s="36">
        <f t="shared" si="3"/>
        <v>0</v>
      </c>
    </row>
    <row r="35" spans="1:11">
      <c r="A35" s="21">
        <v>18</v>
      </c>
      <c r="B35" s="71" t="s">
        <v>275</v>
      </c>
      <c r="C35" s="28" t="s">
        <v>247</v>
      </c>
      <c r="D35" s="33">
        <v>1</v>
      </c>
      <c r="E35" s="28">
        <v>0</v>
      </c>
      <c r="F35" s="36">
        <f t="shared" si="0"/>
        <v>0</v>
      </c>
      <c r="G35" s="33"/>
      <c r="H35" s="36">
        <f t="shared" si="1"/>
        <v>0</v>
      </c>
      <c r="I35" s="29"/>
      <c r="J35" s="36">
        <f t="shared" si="2"/>
        <v>0</v>
      </c>
      <c r="K35" s="36">
        <f t="shared" si="3"/>
        <v>0</v>
      </c>
    </row>
    <row r="36" spans="1:11">
      <c r="B36" s="95" t="s">
        <v>6</v>
      </c>
      <c r="C36" s="14"/>
      <c r="D36" s="20"/>
      <c r="E36" s="20"/>
      <c r="F36" s="20">
        <f>SUM(F7:F35)</f>
        <v>0</v>
      </c>
      <c r="G36" s="20"/>
      <c r="H36" s="20">
        <f>SUM(H7:H35)</f>
        <v>0</v>
      </c>
      <c r="I36" s="20"/>
      <c r="J36" s="20">
        <f>SUM(J7:J35)</f>
        <v>0</v>
      </c>
      <c r="K36" s="37">
        <f>SUM(K6:K35)</f>
        <v>0</v>
      </c>
    </row>
    <row r="37" spans="1:11" ht="15.75">
      <c r="B37" s="107" t="s">
        <v>14</v>
      </c>
      <c r="C37" s="74">
        <v>0.03</v>
      </c>
      <c r="D37" s="73"/>
      <c r="E37" s="35"/>
      <c r="F37" s="35"/>
      <c r="G37" s="73"/>
      <c r="H37" s="73"/>
      <c r="I37" s="73"/>
      <c r="J37" s="35"/>
      <c r="K37" s="46">
        <f>F36*C37</f>
        <v>0</v>
      </c>
    </row>
    <row r="38" spans="1:11" ht="15.75">
      <c r="B38" s="107" t="s">
        <v>6</v>
      </c>
      <c r="C38" s="92"/>
      <c r="D38" s="73"/>
      <c r="E38" s="35"/>
      <c r="F38" s="35"/>
      <c r="G38" s="73"/>
      <c r="H38" s="73"/>
      <c r="I38" s="73"/>
      <c r="J38" s="35"/>
      <c r="K38" s="46">
        <f>K37+K36</f>
        <v>0</v>
      </c>
    </row>
    <row r="39" spans="1:11" ht="15.75">
      <c r="B39" s="107" t="s">
        <v>177</v>
      </c>
      <c r="C39" s="74">
        <v>0.68</v>
      </c>
      <c r="D39" s="73"/>
      <c r="E39" s="35"/>
      <c r="F39" s="35"/>
      <c r="G39" s="73"/>
      <c r="H39" s="73"/>
      <c r="I39" s="73"/>
      <c r="J39" s="35"/>
      <c r="K39" s="46">
        <f>C39*H36</f>
        <v>0</v>
      </c>
    </row>
    <row r="40" spans="1:11" ht="15.75">
      <c r="B40" s="107" t="s">
        <v>6</v>
      </c>
      <c r="C40" s="92"/>
      <c r="D40" s="73"/>
      <c r="E40" s="35"/>
      <c r="F40" s="35"/>
      <c r="G40" s="73"/>
      <c r="H40" s="73"/>
      <c r="I40" s="73"/>
      <c r="J40" s="35"/>
      <c r="K40" s="46">
        <f>K39+K38</f>
        <v>0</v>
      </c>
    </row>
    <row r="41" spans="1:11">
      <c r="B41" s="107" t="s">
        <v>193</v>
      </c>
      <c r="C41" s="74">
        <v>0.05</v>
      </c>
      <c r="D41" s="75"/>
      <c r="E41" s="30"/>
      <c r="F41" s="76"/>
      <c r="G41" s="75"/>
      <c r="H41" s="75"/>
      <c r="I41" s="75"/>
      <c r="J41" s="30"/>
      <c r="K41" s="41">
        <f>K40*C41</f>
        <v>0</v>
      </c>
    </row>
    <row r="42" spans="1:11" ht="15.75">
      <c r="B42" s="107" t="s">
        <v>6</v>
      </c>
      <c r="C42" s="92"/>
      <c r="D42" s="73"/>
      <c r="E42" s="35"/>
      <c r="F42" s="35"/>
      <c r="G42" s="73"/>
      <c r="H42" s="73"/>
      <c r="I42" s="73"/>
      <c r="J42" s="35"/>
      <c r="K42" s="46">
        <f>K41+K40</f>
        <v>0</v>
      </c>
    </row>
    <row r="43" spans="1:11" ht="15.75">
      <c r="B43" s="108" t="s">
        <v>20</v>
      </c>
      <c r="C43" s="93">
        <v>0.03</v>
      </c>
      <c r="D43" s="77"/>
      <c r="E43" s="78"/>
      <c r="F43" s="78"/>
      <c r="G43" s="77"/>
      <c r="H43" s="77"/>
      <c r="I43" s="77"/>
      <c r="J43" s="78"/>
      <c r="K43" s="79">
        <f>K42*C43</f>
        <v>0</v>
      </c>
    </row>
    <row r="44" spans="1:11" ht="15.75">
      <c r="B44" s="109" t="s">
        <v>178</v>
      </c>
      <c r="C44" s="74">
        <v>0.02</v>
      </c>
      <c r="D44" s="80"/>
      <c r="E44" s="80"/>
      <c r="F44" s="81"/>
      <c r="G44" s="82"/>
      <c r="H44" s="82"/>
      <c r="I44" s="82"/>
      <c r="J44" s="81"/>
      <c r="K44" s="83">
        <f>H36*C44</f>
        <v>0</v>
      </c>
    </row>
    <row r="45" spans="1:11" ht="15.75">
      <c r="B45" s="110" t="s">
        <v>6</v>
      </c>
      <c r="C45" s="84"/>
      <c r="D45" s="80"/>
      <c r="E45" s="80"/>
      <c r="F45" s="81"/>
      <c r="G45" s="82"/>
      <c r="H45" s="82"/>
      <c r="I45" s="82"/>
      <c r="J45" s="81"/>
      <c r="K45" s="83">
        <f>K44+K43+K42</f>
        <v>0</v>
      </c>
    </row>
    <row r="46" spans="1:11" ht="15.75">
      <c r="B46" s="111" t="s">
        <v>179</v>
      </c>
      <c r="C46" s="85">
        <v>0.18</v>
      </c>
      <c r="D46" s="86"/>
      <c r="E46" s="86"/>
      <c r="F46" s="86"/>
      <c r="G46" s="86"/>
      <c r="H46" s="86"/>
      <c r="I46" s="86"/>
      <c r="J46" s="86"/>
      <c r="K46" s="87">
        <f>K45*C46</f>
        <v>0</v>
      </c>
    </row>
    <row r="47" spans="1:11" ht="15.75">
      <c r="B47" s="112" t="s">
        <v>6</v>
      </c>
      <c r="C47" s="94"/>
      <c r="D47" s="88"/>
      <c r="E47" s="88"/>
      <c r="F47" s="88"/>
      <c r="G47" s="88"/>
      <c r="H47" s="88"/>
      <c r="I47" s="88"/>
      <c r="J47" s="88"/>
      <c r="K47" s="89">
        <f>K46+K45</f>
        <v>0</v>
      </c>
    </row>
    <row r="49" spans="2:11">
      <c r="B49" s="120"/>
      <c r="C49" s="115"/>
      <c r="D49" s="116"/>
      <c r="E49" s="117"/>
      <c r="F49" s="118"/>
      <c r="G49" s="117"/>
      <c r="H49" s="118"/>
      <c r="I49" s="119"/>
      <c r="J49" s="118"/>
      <c r="K49" s="118"/>
    </row>
    <row r="50" spans="2:11">
      <c r="B50" s="156"/>
      <c r="C50" s="156"/>
      <c r="D50" s="156"/>
      <c r="E50" s="156"/>
      <c r="F50" s="156"/>
      <c r="G50" s="156"/>
      <c r="H50" s="156"/>
      <c r="I50" s="156"/>
      <c r="J50" s="156"/>
      <c r="K50" s="156"/>
    </row>
  </sheetData>
  <mergeCells count="12">
    <mergeCell ref="B50:K50"/>
    <mergeCell ref="K3:K4"/>
    <mergeCell ref="A1:K1"/>
    <mergeCell ref="C2:I2"/>
    <mergeCell ref="J2:K2"/>
    <mergeCell ref="A3:A4"/>
    <mergeCell ref="B3:B4"/>
    <mergeCell ref="C3:C4"/>
    <mergeCell ref="D3:D4"/>
    <mergeCell ref="E3:F3"/>
    <mergeCell ref="G3:H3"/>
    <mergeCell ref="I3:J3"/>
  </mergeCells>
  <conditionalFormatting sqref="D49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ვაზისუბანი, კრებსითი</vt:lpstr>
      <vt:lpstr>სამშენებლო</vt:lpstr>
      <vt:lpstr>კომპ. დაქსელვა</vt:lpstr>
      <vt:lpstr>სახანძრო</vt:lpstr>
      <vt:lpstr>სანტექნიკა</vt:lpstr>
      <vt:lpstr>ელექტროობა</vt:lpstr>
      <vt:lpstr>გათბობა. გაგრილ. ვენტილაცია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2021-10-18T09:49:51Z</dcterms:modified>
</cp:coreProperties>
</file>